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azcorra\Documents\Arturo\5G NR Explained\"/>
    </mc:Choice>
  </mc:AlternateContent>
  <xr:revisionPtr revIDLastSave="0" documentId="13_ncr:1_{852EDD55-14E7-4174-A740-86415C0193C7}" xr6:coauthVersionLast="47" xr6:coauthVersionMax="47" xr10:uidLastSave="{00000000-0000-0000-0000-000000000000}"/>
  <bookViews>
    <workbookView xWindow="1890" yWindow="1320" windowWidth="19695" windowHeight="18210" firstSheet="1" activeTab="5" xr2:uid="{841E57CC-9D45-4FFF-8F37-B7D80601FFC8}"/>
  </bookViews>
  <sheets>
    <sheet name="Times and throughputs" sheetId="12" r:id="rId1"/>
    <sheet name="TDD" sheetId="61" r:id="rId2"/>
    <sheet name="PUCCH Formats" sheetId="64" r:id="rId3"/>
    <sheet name="PUCCH OCC" sheetId="65" r:id="rId4"/>
    <sheet name="PRACH time" sheetId="46" r:id="rId5"/>
    <sheet name="PRACH freq" sheetId="60" r:id="rId6"/>
    <sheet name="PDSCH DMRS" sheetId="49" r:id="rId7"/>
    <sheet name="SSB" sheetId="47" r:id="rId8"/>
    <sheet name="Blocks &amp; Segment." sheetId="63" r:id="rId9"/>
    <sheet name="Blocks &amp; Throughput" sheetId="26" r:id="rId10"/>
    <sheet name="SCS &amp; Channel Bandwidth" sheetId="13" r:id="rId11"/>
    <sheet name="SCS &amp; Cell Size" sheetId="21" r:id="rId12"/>
    <sheet name="Sequences" sheetId="59" r:id="rId13"/>
    <sheet name="VRBBs" sheetId="50" r:id="rId14"/>
    <sheet name="Rast Global" sheetId="54" r:id="rId15"/>
    <sheet name="Rast Global Sync" sheetId="58" r:id="rId16"/>
    <sheet name="Rast bands listed" sheetId="56" r:id="rId17"/>
    <sheet name="Rast Band 263" sheetId="55" r:id="rId18"/>
    <sheet name="(i)DFT" sheetId="66" r:id="rId19"/>
    <sheet name="5G overheads" sheetId="67" r:id="rId20"/>
    <sheet name="Capacity" sheetId="62" r:id="rId2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67" l="1"/>
  <c r="B13" i="67"/>
  <c r="C13" i="67"/>
  <c r="B14" i="67"/>
  <c r="D16" i="67" s="1"/>
  <c r="B16" i="67" s="1"/>
  <c r="B17" i="67" s="1"/>
  <c r="B19" i="67" s="1"/>
  <c r="B20" i="67" s="1"/>
  <c r="C14" i="67"/>
  <c r="F15" i="67"/>
  <c r="D15" i="67" s="1"/>
  <c r="B15" i="67" s="1"/>
  <c r="D19" i="67"/>
  <c r="D20" i="67"/>
  <c r="F21" i="67"/>
  <c r="D21" i="67" s="1"/>
  <c r="B21" i="67" s="1"/>
  <c r="B22" i="67" s="1"/>
  <c r="C28" i="67"/>
  <c r="B28" i="67" s="1"/>
  <c r="C29" i="67"/>
  <c r="B29" i="67" s="1"/>
  <c r="F30" i="67"/>
  <c r="D30" i="67" s="1"/>
  <c r="B30" i="67" s="1"/>
  <c r="D34" i="67"/>
  <c r="D35" i="67"/>
  <c r="F36" i="67"/>
  <c r="D36" i="67" s="1"/>
  <c r="B44" i="67"/>
  <c r="B51" i="67" s="1"/>
  <c r="D4" i="67" s="1"/>
  <c r="B45" i="67"/>
  <c r="B46" i="67"/>
  <c r="B47" i="67" s="1"/>
  <c r="B48" i="67" s="1"/>
  <c r="B49" i="67" s="1"/>
  <c r="B50" i="67" s="1"/>
  <c r="B56" i="67"/>
  <c r="B57" i="67"/>
  <c r="B58" i="67"/>
  <c r="B59" i="67" s="1"/>
  <c r="B60" i="67" s="1"/>
  <c r="B61" i="67" s="1"/>
  <c r="B62" i="67" s="1"/>
  <c r="B63" i="67" s="1"/>
  <c r="D5" i="67" s="1"/>
  <c r="N37" i="66"/>
  <c r="M37" i="66"/>
  <c r="L37" i="66"/>
  <c r="K37" i="66"/>
  <c r="J37" i="66"/>
  <c r="I37" i="66"/>
  <c r="H37" i="66"/>
  <c r="G37" i="66"/>
  <c r="F37" i="66"/>
  <c r="E37" i="66"/>
  <c r="B89" i="66"/>
  <c r="N86" i="66"/>
  <c r="M86" i="66"/>
  <c r="L86" i="66"/>
  <c r="K86" i="66"/>
  <c r="J86" i="66"/>
  <c r="I86" i="66"/>
  <c r="H86" i="66"/>
  <c r="G86" i="66"/>
  <c r="F86" i="66"/>
  <c r="E86" i="66"/>
  <c r="N85" i="66"/>
  <c r="M85" i="66"/>
  <c r="L85" i="66"/>
  <c r="K85" i="66"/>
  <c r="J85" i="66"/>
  <c r="I85" i="66"/>
  <c r="H85" i="66"/>
  <c r="G85" i="66"/>
  <c r="F85" i="66"/>
  <c r="E85" i="66"/>
  <c r="N84" i="66"/>
  <c r="M84" i="66"/>
  <c r="L84" i="66"/>
  <c r="K84" i="66"/>
  <c r="J84" i="66"/>
  <c r="I84" i="66"/>
  <c r="H84" i="66"/>
  <c r="G84" i="66"/>
  <c r="F84" i="66"/>
  <c r="E84" i="66"/>
  <c r="N83" i="66"/>
  <c r="M83" i="66"/>
  <c r="L83" i="66"/>
  <c r="K83" i="66"/>
  <c r="J83" i="66"/>
  <c r="I83" i="66"/>
  <c r="H83" i="66"/>
  <c r="G83" i="66"/>
  <c r="F83" i="66"/>
  <c r="E83" i="66"/>
  <c r="N82" i="66"/>
  <c r="M82" i="66"/>
  <c r="L82" i="66"/>
  <c r="K82" i="66"/>
  <c r="J82" i="66"/>
  <c r="I82" i="66"/>
  <c r="H82" i="66"/>
  <c r="G82" i="66"/>
  <c r="F82" i="66"/>
  <c r="E82" i="66"/>
  <c r="N81" i="66"/>
  <c r="M81" i="66"/>
  <c r="L81" i="66"/>
  <c r="K81" i="66"/>
  <c r="J81" i="66"/>
  <c r="I81" i="66"/>
  <c r="H81" i="66"/>
  <c r="G81" i="66"/>
  <c r="F81" i="66"/>
  <c r="E81" i="66"/>
  <c r="N80" i="66"/>
  <c r="M80" i="66"/>
  <c r="L80" i="66"/>
  <c r="K80" i="66"/>
  <c r="J80" i="66"/>
  <c r="I80" i="66"/>
  <c r="H80" i="66"/>
  <c r="G80" i="66"/>
  <c r="F80" i="66"/>
  <c r="E80" i="66"/>
  <c r="N79" i="66"/>
  <c r="M79" i="66"/>
  <c r="L79" i="66"/>
  <c r="K79" i="66"/>
  <c r="J79" i="66"/>
  <c r="I79" i="66"/>
  <c r="H79" i="66"/>
  <c r="G79" i="66"/>
  <c r="F79" i="66"/>
  <c r="E79" i="66"/>
  <c r="N78" i="66"/>
  <c r="M78" i="66"/>
  <c r="L78" i="66"/>
  <c r="K78" i="66"/>
  <c r="J78" i="66"/>
  <c r="I78" i="66"/>
  <c r="H78" i="66"/>
  <c r="G78" i="66"/>
  <c r="F78" i="66"/>
  <c r="E78" i="66"/>
  <c r="N77" i="66"/>
  <c r="M77" i="66"/>
  <c r="L77" i="66"/>
  <c r="K77" i="66"/>
  <c r="J77" i="66"/>
  <c r="I77" i="66"/>
  <c r="H77" i="66"/>
  <c r="G77" i="66"/>
  <c r="F77" i="66"/>
  <c r="E77" i="66"/>
  <c r="B65" i="66"/>
  <c r="B64" i="66"/>
  <c r="U63" i="66"/>
  <c r="B63" i="66"/>
  <c r="B62" i="66"/>
  <c r="B61" i="66"/>
  <c r="B60" i="66"/>
  <c r="B59" i="66"/>
  <c r="B58" i="66"/>
  <c r="B57" i="66"/>
  <c r="B56" i="66"/>
  <c r="N52" i="66"/>
  <c r="M52" i="66"/>
  <c r="L52" i="66"/>
  <c r="K52" i="66"/>
  <c r="J52" i="66"/>
  <c r="I52" i="66"/>
  <c r="H52" i="66"/>
  <c r="G52" i="66"/>
  <c r="F52" i="66"/>
  <c r="E52" i="66"/>
  <c r="B48" i="66"/>
  <c r="B47" i="66"/>
  <c r="B46" i="66"/>
  <c r="B45" i="66"/>
  <c r="C45" i="66" s="1"/>
  <c r="B44" i="66"/>
  <c r="B43" i="66"/>
  <c r="B42" i="66"/>
  <c r="B41" i="66"/>
  <c r="B40" i="66"/>
  <c r="B39" i="66"/>
  <c r="N35" i="66"/>
  <c r="M35" i="66"/>
  <c r="L35" i="66"/>
  <c r="K35" i="66"/>
  <c r="J35" i="66"/>
  <c r="I35" i="66"/>
  <c r="H35" i="66"/>
  <c r="G35" i="66"/>
  <c r="F35" i="66"/>
  <c r="E35" i="66"/>
  <c r="C23" i="66"/>
  <c r="C18" i="66"/>
  <c r="B14" i="66"/>
  <c r="B13" i="66"/>
  <c r="B24" i="66" s="1"/>
  <c r="B10" i="66"/>
  <c r="C58" i="66" s="1"/>
  <c r="F15" i="65"/>
  <c r="C4" i="65"/>
  <c r="B5" i="65"/>
  <c r="G31" i="65" s="1"/>
  <c r="C6" i="65"/>
  <c r="C14" i="65"/>
  <c r="G19" i="65"/>
  <c r="C68" i="65"/>
  <c r="C69" i="65" s="1"/>
  <c r="C56" i="65"/>
  <c r="C57" i="65" s="1"/>
  <c r="G57" i="65" s="1"/>
  <c r="C44" i="65"/>
  <c r="C45" i="65" s="1"/>
  <c r="G45" i="65" s="1"/>
  <c r="C11" i="65"/>
  <c r="C32" i="65"/>
  <c r="C33" i="65" s="1"/>
  <c r="C34" i="65" s="1"/>
  <c r="C35" i="65" s="1"/>
  <c r="C36" i="65" s="1"/>
  <c r="C37" i="65" s="1"/>
  <c r="C38" i="65" s="1"/>
  <c r="C39" i="65" s="1"/>
  <c r="C40" i="65" s="1"/>
  <c r="C41" i="65" s="1"/>
  <c r="C42" i="65" s="1"/>
  <c r="G42" i="65" s="1"/>
  <c r="C20" i="65"/>
  <c r="C21" i="65" s="1"/>
  <c r="K20" i="64"/>
  <c r="J20" i="64"/>
  <c r="K19" i="64"/>
  <c r="J19" i="64"/>
  <c r="I20" i="64"/>
  <c r="H20" i="64"/>
  <c r="I19" i="64"/>
  <c r="H19" i="64"/>
  <c r="G20" i="64"/>
  <c r="F20" i="64"/>
  <c r="G19" i="64"/>
  <c r="F19" i="64"/>
  <c r="B17" i="64"/>
  <c r="B21" i="64"/>
  <c r="E22" i="64"/>
  <c r="D22" i="64"/>
  <c r="E21" i="64"/>
  <c r="D21" i="64"/>
  <c r="C21" i="64"/>
  <c r="C22" i="64"/>
  <c r="B22" i="64"/>
  <c r="C28" i="64"/>
  <c r="C32" i="64" s="1"/>
  <c r="B28" i="64"/>
  <c r="B32" i="64" s="1"/>
  <c r="C27" i="64"/>
  <c r="C31" i="64" s="1"/>
  <c r="B27" i="64"/>
  <c r="B31" i="64" s="1"/>
  <c r="E5" i="64"/>
  <c r="G5" i="64" s="1"/>
  <c r="I5" i="64" s="1"/>
  <c r="K5" i="64" s="1"/>
  <c r="D5" i="64"/>
  <c r="F5" i="64" s="1"/>
  <c r="H5" i="64" s="1"/>
  <c r="J5" i="64" s="1"/>
  <c r="B10" i="64"/>
  <c r="C10" i="64"/>
  <c r="C15" i="64" s="1"/>
  <c r="D10" i="64"/>
  <c r="E10" i="64"/>
  <c r="F10" i="64"/>
  <c r="F23" i="64" s="1"/>
  <c r="G10" i="64"/>
  <c r="G23" i="64" s="1"/>
  <c r="H10" i="64"/>
  <c r="H23" i="64" s="1"/>
  <c r="I10" i="64"/>
  <c r="I23" i="64" s="1"/>
  <c r="J10" i="64"/>
  <c r="J23" i="64" s="1"/>
  <c r="K10" i="64"/>
  <c r="K23" i="64" s="1"/>
  <c r="B11" i="64"/>
  <c r="C11" i="64"/>
  <c r="C16" i="64" s="1"/>
  <c r="D11" i="64"/>
  <c r="E11" i="64"/>
  <c r="F11" i="64"/>
  <c r="F24" i="64" s="1"/>
  <c r="G11" i="64"/>
  <c r="G24" i="64" s="1"/>
  <c r="H11" i="64"/>
  <c r="H24" i="64" s="1"/>
  <c r="I11" i="64"/>
  <c r="I24" i="64" s="1"/>
  <c r="J11" i="64"/>
  <c r="J24" i="64" s="1"/>
  <c r="K11" i="64"/>
  <c r="K24" i="64" s="1"/>
  <c r="B13" i="64"/>
  <c r="F13" i="64"/>
  <c r="G13" i="64"/>
  <c r="B14" i="64"/>
  <c r="F14" i="64"/>
  <c r="G14" i="64"/>
  <c r="B42" i="64"/>
  <c r="C42" i="64" s="1"/>
  <c r="B43" i="64"/>
  <c r="C43" i="64" s="1"/>
  <c r="D43" i="64" s="1"/>
  <c r="B44" i="64"/>
  <c r="C44" i="64" s="1"/>
  <c r="D44" i="64" s="1"/>
  <c r="B45" i="64"/>
  <c r="C45" i="64" s="1"/>
  <c r="D45" i="64" s="1"/>
  <c r="B46" i="64"/>
  <c r="C46" i="64" s="1"/>
  <c r="D46" i="64" s="1"/>
  <c r="B47" i="64"/>
  <c r="C47" i="64" s="1"/>
  <c r="D47" i="64" s="1"/>
  <c r="B48" i="64"/>
  <c r="C48" i="64" s="1"/>
  <c r="D48" i="64" s="1"/>
  <c r="B49" i="64"/>
  <c r="C49" i="64" s="1"/>
  <c r="D49" i="64" s="1"/>
  <c r="B50" i="64"/>
  <c r="C50" i="64" s="1"/>
  <c r="D50" i="64" s="1"/>
  <c r="B51" i="64"/>
  <c r="C51" i="64" s="1"/>
  <c r="D51" i="64" s="1"/>
  <c r="B52" i="64"/>
  <c r="C52" i="64" s="1"/>
  <c r="D52" i="64" s="1"/>
  <c r="J62" i="64"/>
  <c r="N62" i="64" s="1"/>
  <c r="K62" i="64"/>
  <c r="O62" i="64" s="1"/>
  <c r="L62" i="64"/>
  <c r="P62" i="64" s="1"/>
  <c r="M62" i="64"/>
  <c r="Q62" i="64" s="1"/>
  <c r="J63" i="64"/>
  <c r="N63" i="64" s="1"/>
  <c r="K63" i="64"/>
  <c r="O63" i="64" s="1"/>
  <c r="L63" i="64"/>
  <c r="P63" i="64" s="1"/>
  <c r="M63" i="64"/>
  <c r="Q63" i="64" s="1"/>
  <c r="J64" i="64"/>
  <c r="N64" i="64" s="1"/>
  <c r="K64" i="64"/>
  <c r="O64" i="64" s="1"/>
  <c r="L64" i="64"/>
  <c r="P64" i="64" s="1"/>
  <c r="M64" i="64"/>
  <c r="Q64" i="64" s="1"/>
  <c r="J65" i="64"/>
  <c r="N65" i="64" s="1"/>
  <c r="K65" i="64"/>
  <c r="O65" i="64" s="1"/>
  <c r="L65" i="64"/>
  <c r="P65" i="64" s="1"/>
  <c r="M65" i="64"/>
  <c r="Q65" i="64" s="1"/>
  <c r="J66" i="64"/>
  <c r="N66" i="64" s="1"/>
  <c r="K66" i="64"/>
  <c r="O66" i="64" s="1"/>
  <c r="L66" i="64"/>
  <c r="P66" i="64" s="1"/>
  <c r="M66" i="64"/>
  <c r="Q66" i="64" s="1"/>
  <c r="J67" i="64"/>
  <c r="N67" i="64" s="1"/>
  <c r="K67" i="64"/>
  <c r="O67" i="64" s="1"/>
  <c r="L67" i="64"/>
  <c r="P67" i="64" s="1"/>
  <c r="M67" i="64"/>
  <c r="Q67" i="64" s="1"/>
  <c r="J68" i="64"/>
  <c r="N68" i="64" s="1"/>
  <c r="K68" i="64"/>
  <c r="O68" i="64" s="1"/>
  <c r="L68" i="64"/>
  <c r="P68" i="64" s="1"/>
  <c r="M68" i="64"/>
  <c r="Q68" i="64" s="1"/>
  <c r="J69" i="64"/>
  <c r="N69" i="64" s="1"/>
  <c r="K69" i="64"/>
  <c r="O69" i="64" s="1"/>
  <c r="L69" i="64"/>
  <c r="P69" i="64" s="1"/>
  <c r="M69" i="64"/>
  <c r="Q69" i="64" s="1"/>
  <c r="J70" i="64"/>
  <c r="N70" i="64" s="1"/>
  <c r="K70" i="64"/>
  <c r="O70" i="64" s="1"/>
  <c r="L70" i="64"/>
  <c r="P70" i="64" s="1"/>
  <c r="M70" i="64"/>
  <c r="Q70" i="64" s="1"/>
  <c r="J71" i="64"/>
  <c r="N71" i="64" s="1"/>
  <c r="K71" i="64"/>
  <c r="O71" i="64" s="1"/>
  <c r="L71" i="64"/>
  <c r="P71" i="64" s="1"/>
  <c r="M71" i="64"/>
  <c r="Q71" i="64" s="1"/>
  <c r="J72" i="64"/>
  <c r="N72" i="64" s="1"/>
  <c r="K72" i="64"/>
  <c r="O72" i="64" s="1"/>
  <c r="L72" i="64"/>
  <c r="P72" i="64" s="1"/>
  <c r="M72" i="64"/>
  <c r="Q72" i="64" s="1"/>
  <c r="D23" i="63"/>
  <c r="E20" i="63"/>
  <c r="E41" i="63" s="1"/>
  <c r="F20" i="63"/>
  <c r="F42" i="63" s="1"/>
  <c r="G20" i="63"/>
  <c r="G42" i="63" s="1"/>
  <c r="H20" i="63"/>
  <c r="H40" i="63" s="1"/>
  <c r="I20" i="63"/>
  <c r="I43" i="63" s="1"/>
  <c r="J20" i="63"/>
  <c r="J41" i="63" s="1"/>
  <c r="K20" i="63"/>
  <c r="L20" i="63"/>
  <c r="L42" i="63" s="1"/>
  <c r="M20" i="63"/>
  <c r="E21" i="63"/>
  <c r="F21" i="63"/>
  <c r="J21" i="63"/>
  <c r="K21" i="63"/>
  <c r="L21" i="63"/>
  <c r="M21" i="63"/>
  <c r="E22" i="63"/>
  <c r="F22" i="63"/>
  <c r="G22" i="63"/>
  <c r="G21" i="63" s="1"/>
  <c r="H22" i="63"/>
  <c r="H21" i="63" s="1"/>
  <c r="I22" i="63"/>
  <c r="I21" i="63" s="1"/>
  <c r="J22" i="63"/>
  <c r="K22" i="63"/>
  <c r="L22" i="63"/>
  <c r="M22" i="63"/>
  <c r="N22" i="63"/>
  <c r="N21" i="63" s="1"/>
  <c r="D22" i="63"/>
  <c r="D21" i="63"/>
  <c r="D20" i="63"/>
  <c r="D41" i="63" s="1"/>
  <c r="D16" i="63"/>
  <c r="E39" i="63"/>
  <c r="F39" i="63"/>
  <c r="G39" i="63"/>
  <c r="I39" i="63"/>
  <c r="K39" i="63"/>
  <c r="M39" i="63"/>
  <c r="F40" i="63"/>
  <c r="G40" i="63"/>
  <c r="I40" i="63"/>
  <c r="K40" i="63"/>
  <c r="M40" i="63"/>
  <c r="H41" i="63"/>
  <c r="I41" i="63"/>
  <c r="K41" i="63"/>
  <c r="M41" i="63"/>
  <c r="E42" i="63"/>
  <c r="K42" i="63"/>
  <c r="M42" i="63"/>
  <c r="E43" i="63"/>
  <c r="F43" i="63"/>
  <c r="G43" i="63"/>
  <c r="K43" i="63"/>
  <c r="M43" i="63"/>
  <c r="E44" i="63"/>
  <c r="F44" i="63"/>
  <c r="G44" i="63"/>
  <c r="I44" i="63"/>
  <c r="K44" i="63"/>
  <c r="M44" i="63"/>
  <c r="E45" i="63"/>
  <c r="F45" i="63"/>
  <c r="G45" i="63"/>
  <c r="H45" i="63"/>
  <c r="I45" i="63"/>
  <c r="K45" i="63"/>
  <c r="M45" i="63"/>
  <c r="E46" i="63"/>
  <c r="F46" i="63"/>
  <c r="G46" i="63"/>
  <c r="H46" i="63"/>
  <c r="I46" i="63"/>
  <c r="K46" i="63"/>
  <c r="M46" i="63"/>
  <c r="H47" i="63"/>
  <c r="I47" i="63"/>
  <c r="K47" i="63"/>
  <c r="M47" i="63"/>
  <c r="E48" i="63"/>
  <c r="I48" i="63"/>
  <c r="K48" i="63"/>
  <c r="M48" i="63"/>
  <c r="E49" i="63"/>
  <c r="F49" i="63"/>
  <c r="G49" i="63"/>
  <c r="K49" i="63"/>
  <c r="M49" i="63"/>
  <c r="E50" i="63"/>
  <c r="F50" i="63"/>
  <c r="G50" i="63"/>
  <c r="H50" i="63"/>
  <c r="I50" i="63"/>
  <c r="K50" i="63"/>
  <c r="M50" i="63"/>
  <c r="E51" i="63"/>
  <c r="F51" i="63"/>
  <c r="G51" i="63"/>
  <c r="H51" i="63"/>
  <c r="I51" i="63"/>
  <c r="K51" i="63"/>
  <c r="M51" i="63"/>
  <c r="E52" i="63"/>
  <c r="F52" i="63"/>
  <c r="G52" i="63"/>
  <c r="H52" i="63"/>
  <c r="I52" i="63"/>
  <c r="K52" i="63"/>
  <c r="M52" i="63"/>
  <c r="G53" i="63"/>
  <c r="H53" i="63"/>
  <c r="I53" i="63"/>
  <c r="K53" i="63"/>
  <c r="M53" i="63"/>
  <c r="E54" i="63"/>
  <c r="I54" i="63"/>
  <c r="K54" i="63"/>
  <c r="M54" i="63"/>
  <c r="E55" i="63"/>
  <c r="F55" i="63"/>
  <c r="G55" i="63"/>
  <c r="K55" i="63"/>
  <c r="M55" i="63"/>
  <c r="E56" i="63"/>
  <c r="F56" i="63"/>
  <c r="G56" i="63"/>
  <c r="H56" i="63"/>
  <c r="I56" i="63"/>
  <c r="K56" i="63"/>
  <c r="M56" i="63"/>
  <c r="E57" i="63"/>
  <c r="F57" i="63"/>
  <c r="G57" i="63"/>
  <c r="H57" i="63"/>
  <c r="I57" i="63"/>
  <c r="K57" i="63"/>
  <c r="M57" i="63"/>
  <c r="E58" i="63"/>
  <c r="F58" i="63"/>
  <c r="G58" i="63"/>
  <c r="H58" i="63"/>
  <c r="I58" i="63"/>
  <c r="K58" i="63"/>
  <c r="M58" i="63"/>
  <c r="G59" i="63"/>
  <c r="H59" i="63"/>
  <c r="I59" i="63"/>
  <c r="K59" i="63"/>
  <c r="M59" i="63"/>
  <c r="E60" i="63"/>
  <c r="I60" i="63"/>
  <c r="K60" i="63"/>
  <c r="M60" i="63"/>
  <c r="E61" i="63"/>
  <c r="F61" i="63"/>
  <c r="G61" i="63"/>
  <c r="K61" i="63"/>
  <c r="M61" i="63"/>
  <c r="E62" i="63"/>
  <c r="F62" i="63"/>
  <c r="G62" i="63"/>
  <c r="H62" i="63"/>
  <c r="I62" i="63"/>
  <c r="K62" i="63"/>
  <c r="M62" i="63"/>
  <c r="E63" i="63"/>
  <c r="F63" i="63"/>
  <c r="G63" i="63"/>
  <c r="H63" i="63"/>
  <c r="I63" i="63"/>
  <c r="K63" i="63"/>
  <c r="M63" i="63"/>
  <c r="E64" i="63"/>
  <c r="F64" i="63"/>
  <c r="G64" i="63"/>
  <c r="H64" i="63"/>
  <c r="I64" i="63"/>
  <c r="K64" i="63"/>
  <c r="M64" i="63"/>
  <c r="G65" i="63"/>
  <c r="H65" i="63"/>
  <c r="I65" i="63"/>
  <c r="K65" i="63"/>
  <c r="M65" i="63"/>
  <c r="E66" i="63"/>
  <c r="I66" i="63"/>
  <c r="K66" i="63"/>
  <c r="M66" i="63"/>
  <c r="E67" i="63"/>
  <c r="F67" i="63"/>
  <c r="G67" i="63"/>
  <c r="K67" i="63"/>
  <c r="M67" i="63"/>
  <c r="E68" i="63"/>
  <c r="F68" i="63"/>
  <c r="G68" i="63"/>
  <c r="H68" i="63"/>
  <c r="I68" i="63"/>
  <c r="K68" i="63"/>
  <c r="M68" i="63"/>
  <c r="E69" i="63"/>
  <c r="F69" i="63"/>
  <c r="G69" i="63"/>
  <c r="H69" i="63"/>
  <c r="I69" i="63"/>
  <c r="K69" i="63"/>
  <c r="M69" i="63"/>
  <c r="E70" i="63"/>
  <c r="F70" i="63"/>
  <c r="G70" i="63"/>
  <c r="H70" i="63"/>
  <c r="I70" i="63"/>
  <c r="K70" i="63"/>
  <c r="M70" i="63"/>
  <c r="G71" i="63"/>
  <c r="H71" i="63"/>
  <c r="I71" i="63"/>
  <c r="K71" i="63"/>
  <c r="M71" i="63"/>
  <c r="E72" i="63"/>
  <c r="I72" i="63"/>
  <c r="K72" i="63"/>
  <c r="M72" i="63"/>
  <c r="E73" i="63"/>
  <c r="F73" i="63"/>
  <c r="G73" i="63"/>
  <c r="K73" i="63"/>
  <c r="M73" i="63"/>
  <c r="E74" i="63"/>
  <c r="F74" i="63"/>
  <c r="G74" i="63"/>
  <c r="H74" i="63"/>
  <c r="I74" i="63"/>
  <c r="K74" i="63"/>
  <c r="M74" i="63"/>
  <c r="E75" i="63"/>
  <c r="F75" i="63"/>
  <c r="G75" i="63"/>
  <c r="H75" i="63"/>
  <c r="I75" i="63"/>
  <c r="K75" i="63"/>
  <c r="M75" i="63"/>
  <c r="E76" i="63"/>
  <c r="F76" i="63"/>
  <c r="G76" i="63"/>
  <c r="H76" i="63"/>
  <c r="I76" i="63"/>
  <c r="K76" i="63"/>
  <c r="M76" i="63"/>
  <c r="G77" i="63"/>
  <c r="H77" i="63"/>
  <c r="I77" i="63"/>
  <c r="K77" i="63"/>
  <c r="M77" i="63"/>
  <c r="E78" i="63"/>
  <c r="I78" i="63"/>
  <c r="K78" i="63"/>
  <c r="M78" i="63"/>
  <c r="E79" i="63"/>
  <c r="F79" i="63"/>
  <c r="G79" i="63"/>
  <c r="K79" i="63"/>
  <c r="M79" i="63"/>
  <c r="E80" i="63"/>
  <c r="F80" i="63"/>
  <c r="G80" i="63"/>
  <c r="H80" i="63"/>
  <c r="I80" i="63"/>
  <c r="K80" i="63"/>
  <c r="M80" i="63"/>
  <c r="E81" i="63"/>
  <c r="F81" i="63"/>
  <c r="G81" i="63"/>
  <c r="H81" i="63"/>
  <c r="I81" i="63"/>
  <c r="K81" i="63"/>
  <c r="M81" i="63"/>
  <c r="E82" i="63"/>
  <c r="F82" i="63"/>
  <c r="G82" i="63"/>
  <c r="H82" i="63"/>
  <c r="I82" i="63"/>
  <c r="K82" i="63"/>
  <c r="M82" i="63"/>
  <c r="G83" i="63"/>
  <c r="H83" i="63"/>
  <c r="I83" i="63"/>
  <c r="K83" i="63"/>
  <c r="M83" i="63"/>
  <c r="E84" i="63"/>
  <c r="I84" i="63"/>
  <c r="K84" i="63"/>
  <c r="M84" i="63"/>
  <c r="E85" i="63"/>
  <c r="F85" i="63"/>
  <c r="G85" i="63"/>
  <c r="K85" i="63"/>
  <c r="M85" i="63"/>
  <c r="E86" i="63"/>
  <c r="F86" i="63"/>
  <c r="G86" i="63"/>
  <c r="H86" i="63"/>
  <c r="I86" i="63"/>
  <c r="K86" i="63"/>
  <c r="M86" i="63"/>
  <c r="E87" i="63"/>
  <c r="F87" i="63"/>
  <c r="G87" i="63"/>
  <c r="H87" i="63"/>
  <c r="I87" i="63"/>
  <c r="K87" i="63"/>
  <c r="M87" i="63"/>
  <c r="E88" i="63"/>
  <c r="F88" i="63"/>
  <c r="G88" i="63"/>
  <c r="H88" i="63"/>
  <c r="I88" i="63"/>
  <c r="K88" i="63"/>
  <c r="M88" i="63"/>
  <c r="G38" i="63"/>
  <c r="H38" i="63"/>
  <c r="I38" i="63"/>
  <c r="K38" i="63"/>
  <c r="M38" i="63"/>
  <c r="N25" i="63"/>
  <c r="M25" i="63"/>
  <c r="L25" i="63"/>
  <c r="K25" i="63"/>
  <c r="J25" i="63"/>
  <c r="I25" i="63"/>
  <c r="H25" i="63"/>
  <c r="G25" i="63"/>
  <c r="F25" i="63"/>
  <c r="E25" i="63"/>
  <c r="K24" i="63"/>
  <c r="J23" i="63"/>
  <c r="F8" i="63"/>
  <c r="G8" i="63"/>
  <c r="H8" i="63"/>
  <c r="I8" i="63"/>
  <c r="J8" i="63"/>
  <c r="J13" i="63" s="1"/>
  <c r="K8" i="63"/>
  <c r="L8" i="63"/>
  <c r="M8" i="63"/>
  <c r="N8" i="63"/>
  <c r="F9" i="63"/>
  <c r="G9" i="63"/>
  <c r="H9" i="63"/>
  <c r="I9" i="63"/>
  <c r="J9" i="63"/>
  <c r="K9" i="63"/>
  <c r="L9" i="63"/>
  <c r="M9" i="63"/>
  <c r="N9" i="63"/>
  <c r="G6" i="63"/>
  <c r="G7" i="63" s="1"/>
  <c r="G15" i="63" s="1"/>
  <c r="F6" i="63"/>
  <c r="F7" i="63" s="1"/>
  <c r="F15" i="63" s="1"/>
  <c r="M6" i="63"/>
  <c r="M7" i="63" s="1"/>
  <c r="N6" i="63"/>
  <c r="N7" i="63" s="1"/>
  <c r="N15" i="63" s="1"/>
  <c r="D9" i="63"/>
  <c r="E9" i="63"/>
  <c r="E8" i="63"/>
  <c r="D8" i="63"/>
  <c r="J6" i="63"/>
  <c r="J7" i="63" s="1"/>
  <c r="J24" i="63" s="1"/>
  <c r="K6" i="63"/>
  <c r="K7" i="63" s="1"/>
  <c r="K23" i="63" s="1"/>
  <c r="L6" i="63"/>
  <c r="L7" i="63" s="1"/>
  <c r="L23" i="63" s="1"/>
  <c r="D6" i="63"/>
  <c r="D7" i="63" s="1"/>
  <c r="E6" i="63"/>
  <c r="E7" i="63" s="1"/>
  <c r="E15" i="63" s="1"/>
  <c r="H6" i="63"/>
  <c r="H7" i="63" s="1"/>
  <c r="H15" i="63" s="1"/>
  <c r="I6" i="63"/>
  <c r="I7" i="63" s="1"/>
  <c r="B76" i="12"/>
  <c r="S13" i="12"/>
  <c r="D31" i="67" l="1"/>
  <c r="B31" i="67" s="1"/>
  <c r="B32" i="67" s="1"/>
  <c r="B34" i="67" s="1"/>
  <c r="B35" i="67" s="1"/>
  <c r="B36" i="67" s="1"/>
  <c r="B37" i="67" s="1"/>
  <c r="C5" i="67" s="1"/>
  <c r="C4" i="67"/>
  <c r="N101" i="66"/>
  <c r="N48" i="66" s="1"/>
  <c r="C19" i="66"/>
  <c r="I53" i="66"/>
  <c r="C62" i="66"/>
  <c r="C42" i="66"/>
  <c r="H36" i="66"/>
  <c r="I92" i="66"/>
  <c r="K93" i="66"/>
  <c r="M94" i="66"/>
  <c r="E96" i="66"/>
  <c r="G97" i="66"/>
  <c r="I98" i="66"/>
  <c r="K99" i="66"/>
  <c r="M100" i="66"/>
  <c r="C44" i="66"/>
  <c r="K53" i="66"/>
  <c r="K92" i="66"/>
  <c r="M93" i="66"/>
  <c r="E95" i="66"/>
  <c r="G96" i="66"/>
  <c r="G43" i="66" s="1"/>
  <c r="I97" i="66"/>
  <c r="K98" i="66"/>
  <c r="M99" i="66"/>
  <c r="E101" i="66"/>
  <c r="L92" i="66"/>
  <c r="N93" i="66"/>
  <c r="F95" i="66"/>
  <c r="H96" i="66"/>
  <c r="J97" i="66"/>
  <c r="L98" i="66"/>
  <c r="N99" i="66"/>
  <c r="N46" i="66" s="1"/>
  <c r="F101" i="66"/>
  <c r="M53" i="66"/>
  <c r="C63" i="66"/>
  <c r="M92" i="66"/>
  <c r="E94" i="66"/>
  <c r="G95" i="66"/>
  <c r="G42" i="66" s="1"/>
  <c r="I96" i="66"/>
  <c r="K97" i="66"/>
  <c r="E100" i="66"/>
  <c r="G101" i="66"/>
  <c r="B19" i="66"/>
  <c r="L36" i="66"/>
  <c r="C46" i="66"/>
  <c r="N53" i="66"/>
  <c r="C47" i="66"/>
  <c r="H53" i="66"/>
  <c r="E93" i="66"/>
  <c r="G94" i="66"/>
  <c r="G41" i="66" s="1"/>
  <c r="I95" i="66"/>
  <c r="K96" i="66"/>
  <c r="M97" i="66"/>
  <c r="E99" i="66"/>
  <c r="I101" i="66"/>
  <c r="N36" i="66"/>
  <c r="C48" i="66"/>
  <c r="F93" i="66"/>
  <c r="H94" i="66"/>
  <c r="H41" i="66" s="1"/>
  <c r="J95" i="66"/>
  <c r="J42" i="66" s="1"/>
  <c r="L96" i="66"/>
  <c r="L43" i="66" s="1"/>
  <c r="N97" i="66"/>
  <c r="F99" i="66"/>
  <c r="H100" i="66"/>
  <c r="J101" i="66"/>
  <c r="E53" i="66"/>
  <c r="C56" i="66"/>
  <c r="E92" i="66"/>
  <c r="G93" i="66"/>
  <c r="G40" i="66" s="1"/>
  <c r="I94" i="66"/>
  <c r="K95" i="66"/>
  <c r="M96" i="66"/>
  <c r="E98" i="66"/>
  <c r="G99" i="66"/>
  <c r="K101" i="66"/>
  <c r="C24" i="66"/>
  <c r="C39" i="66"/>
  <c r="F53" i="66"/>
  <c r="C57" i="66"/>
  <c r="E36" i="66"/>
  <c r="C40" i="66"/>
  <c r="G53" i="66"/>
  <c r="G92" i="66"/>
  <c r="I93" i="66"/>
  <c r="M101" i="66"/>
  <c r="M98" i="66"/>
  <c r="M36" i="66"/>
  <c r="G100" i="66"/>
  <c r="I100" i="66"/>
  <c r="C41" i="66"/>
  <c r="F36" i="66"/>
  <c r="G36" i="66"/>
  <c r="F92" i="66"/>
  <c r="H93" i="66"/>
  <c r="H40" i="66" s="1"/>
  <c r="J94" i="66"/>
  <c r="J41" i="66" s="1"/>
  <c r="L95" i="66"/>
  <c r="L42" i="66" s="1"/>
  <c r="N96" i="66"/>
  <c r="N43" i="66" s="1"/>
  <c r="F98" i="66"/>
  <c r="H99" i="66"/>
  <c r="J100" i="66"/>
  <c r="L101" i="66"/>
  <c r="C59" i="66"/>
  <c r="C43" i="66"/>
  <c r="J53" i="66"/>
  <c r="C60" i="66"/>
  <c r="J36" i="66"/>
  <c r="K36" i="66"/>
  <c r="K46" i="66" s="1"/>
  <c r="L53" i="66"/>
  <c r="N100" i="66"/>
  <c r="N47" i="66" s="1"/>
  <c r="N44" i="66"/>
  <c r="H47" i="66"/>
  <c r="J48" i="66"/>
  <c r="G39" i="66"/>
  <c r="K40" i="66"/>
  <c r="G44" i="66"/>
  <c r="C64" i="66"/>
  <c r="J92" i="66"/>
  <c r="L93" i="66"/>
  <c r="N94" i="66"/>
  <c r="F96" i="66"/>
  <c r="H97" i="66"/>
  <c r="J98" i="66"/>
  <c r="L99" i="66"/>
  <c r="I36" i="66"/>
  <c r="C65" i="66"/>
  <c r="B15" i="66"/>
  <c r="C61" i="66"/>
  <c r="N92" i="66"/>
  <c r="F94" i="66"/>
  <c r="H95" i="66"/>
  <c r="J96" i="66"/>
  <c r="L97" i="66"/>
  <c r="N98" i="66"/>
  <c r="F100" i="66"/>
  <c r="H101" i="66"/>
  <c r="E41" i="66"/>
  <c r="K94" i="66"/>
  <c r="M95" i="66"/>
  <c r="E97" i="66"/>
  <c r="G98" i="66"/>
  <c r="I99" i="66"/>
  <c r="K100" i="66"/>
  <c r="H92" i="66"/>
  <c r="J93" i="66"/>
  <c r="L94" i="66"/>
  <c r="N95" i="66"/>
  <c r="F97" i="66"/>
  <c r="H98" i="66"/>
  <c r="J99" i="66"/>
  <c r="L100" i="66"/>
  <c r="C13" i="65"/>
  <c r="G69" i="65"/>
  <c r="G43" i="65"/>
  <c r="G55" i="65"/>
  <c r="G67" i="65"/>
  <c r="G21" i="65"/>
  <c r="C5" i="65"/>
  <c r="C7" i="65"/>
  <c r="G44" i="65"/>
  <c r="G41" i="65"/>
  <c r="G20" i="65"/>
  <c r="G32" i="65"/>
  <c r="G56" i="65"/>
  <c r="G68" i="65"/>
  <c r="G33" i="65"/>
  <c r="G34" i="65"/>
  <c r="G35" i="65"/>
  <c r="G36" i="65"/>
  <c r="G37" i="65"/>
  <c r="G38" i="65"/>
  <c r="G39" i="65"/>
  <c r="G40" i="65"/>
  <c r="C70" i="65"/>
  <c r="G70" i="65" s="1"/>
  <c r="C58" i="65"/>
  <c r="G58" i="65" s="1"/>
  <c r="C46" i="65"/>
  <c r="G46" i="65" s="1"/>
  <c r="B8" i="65"/>
  <c r="E57" i="65" s="1"/>
  <c r="C12" i="65"/>
  <c r="C15" i="65" s="1"/>
  <c r="C22" i="65"/>
  <c r="G22" i="65" s="1"/>
  <c r="E23" i="64"/>
  <c r="D23" i="64"/>
  <c r="B23" i="64"/>
  <c r="B24" i="64"/>
  <c r="E24" i="64"/>
  <c r="D24" i="64"/>
  <c r="C24" i="64"/>
  <c r="C23" i="64"/>
  <c r="G16" i="64"/>
  <c r="G28" i="64" s="1"/>
  <c r="G32" i="64" s="1"/>
  <c r="B16" i="64"/>
  <c r="G15" i="64"/>
  <c r="G27" i="64" s="1"/>
  <c r="F16" i="64"/>
  <c r="F28" i="64" s="1"/>
  <c r="F32" i="64" s="1"/>
  <c r="B15" i="64"/>
  <c r="F15" i="64"/>
  <c r="F27" i="64" s="1"/>
  <c r="F31" i="64" s="1"/>
  <c r="J74" i="64"/>
  <c r="Q73" i="64"/>
  <c r="Q74" i="64"/>
  <c r="D42" i="64"/>
  <c r="C54" i="64"/>
  <c r="C53" i="64"/>
  <c r="P73" i="64"/>
  <c r="P74" i="64"/>
  <c r="O74" i="64"/>
  <c r="O73" i="64"/>
  <c r="N74" i="64"/>
  <c r="N73" i="64"/>
  <c r="M73" i="64"/>
  <c r="L73" i="64"/>
  <c r="K74" i="64"/>
  <c r="K73" i="64"/>
  <c r="J73" i="64"/>
  <c r="M74" i="64"/>
  <c r="L74" i="64"/>
  <c r="J48" i="63"/>
  <c r="J84" i="63"/>
  <c r="J66" i="63"/>
  <c r="J54" i="63"/>
  <c r="L43" i="63"/>
  <c r="G41" i="63"/>
  <c r="E40" i="63"/>
  <c r="N20" i="63"/>
  <c r="J78" i="63"/>
  <c r="J72" i="63"/>
  <c r="G47" i="63"/>
  <c r="I42" i="63"/>
  <c r="F38" i="63"/>
  <c r="L86" i="63"/>
  <c r="J85" i="63"/>
  <c r="H84" i="63"/>
  <c r="F83" i="63"/>
  <c r="L80" i="63"/>
  <c r="J79" i="63"/>
  <c r="H78" i="63"/>
  <c r="F77" i="63"/>
  <c r="L74" i="63"/>
  <c r="J73" i="63"/>
  <c r="H72" i="63"/>
  <c r="F71" i="63"/>
  <c r="L68" i="63"/>
  <c r="J67" i="63"/>
  <c r="H66" i="63"/>
  <c r="F65" i="63"/>
  <c r="L62" i="63"/>
  <c r="J61" i="63"/>
  <c r="H60" i="63"/>
  <c r="F59" i="63"/>
  <c r="L56" i="63"/>
  <c r="J55" i="63"/>
  <c r="H54" i="63"/>
  <c r="F53" i="63"/>
  <c r="L50" i="63"/>
  <c r="J49" i="63"/>
  <c r="H48" i="63"/>
  <c r="F47" i="63"/>
  <c r="L44" i="63"/>
  <c r="J43" i="63"/>
  <c r="H42" i="63"/>
  <c r="F41" i="63"/>
  <c r="L85" i="63"/>
  <c r="L79" i="63"/>
  <c r="L73" i="63"/>
  <c r="L67" i="63"/>
  <c r="L61" i="63"/>
  <c r="J60" i="63"/>
  <c r="L55" i="63"/>
  <c r="L49" i="63"/>
  <c r="J42" i="63"/>
  <c r="E38" i="63"/>
  <c r="I85" i="63"/>
  <c r="G84" i="63"/>
  <c r="E83" i="63"/>
  <c r="I79" i="63"/>
  <c r="G78" i="63"/>
  <c r="E77" i="63"/>
  <c r="I73" i="63"/>
  <c r="G72" i="63"/>
  <c r="E71" i="63"/>
  <c r="I67" i="63"/>
  <c r="G66" i="63"/>
  <c r="E65" i="63"/>
  <c r="I61" i="63"/>
  <c r="G60" i="63"/>
  <c r="E59" i="63"/>
  <c r="I55" i="63"/>
  <c r="G54" i="63"/>
  <c r="E53" i="63"/>
  <c r="I49" i="63"/>
  <c r="G48" i="63"/>
  <c r="E47" i="63"/>
  <c r="L87" i="63"/>
  <c r="J86" i="63"/>
  <c r="H85" i="63"/>
  <c r="F84" i="63"/>
  <c r="L81" i="63"/>
  <c r="J80" i="63"/>
  <c r="H79" i="63"/>
  <c r="F78" i="63"/>
  <c r="L75" i="63"/>
  <c r="J74" i="63"/>
  <c r="H73" i="63"/>
  <c r="F72" i="63"/>
  <c r="L69" i="63"/>
  <c r="J68" i="63"/>
  <c r="H67" i="63"/>
  <c r="F66" i="63"/>
  <c r="L63" i="63"/>
  <c r="J62" i="63"/>
  <c r="H61" i="63"/>
  <c r="F60" i="63"/>
  <c r="L57" i="63"/>
  <c r="J56" i="63"/>
  <c r="H55" i="63"/>
  <c r="F54" i="63"/>
  <c r="L51" i="63"/>
  <c r="J50" i="63"/>
  <c r="H49" i="63"/>
  <c r="F48" i="63"/>
  <c r="L45" i="63"/>
  <c r="J44" i="63"/>
  <c r="H43" i="63"/>
  <c r="L39" i="63"/>
  <c r="L88" i="63"/>
  <c r="J87" i="63"/>
  <c r="L82" i="63"/>
  <c r="J81" i="63"/>
  <c r="L76" i="63"/>
  <c r="J75" i="63"/>
  <c r="L70" i="63"/>
  <c r="J69" i="63"/>
  <c r="L64" i="63"/>
  <c r="J63" i="63"/>
  <c r="L58" i="63"/>
  <c r="J57" i="63"/>
  <c r="L52" i="63"/>
  <c r="J51" i="63"/>
  <c r="L46" i="63"/>
  <c r="J45" i="63"/>
  <c r="H44" i="63"/>
  <c r="L40" i="63"/>
  <c r="J39" i="63"/>
  <c r="L38" i="63"/>
  <c r="J88" i="63"/>
  <c r="L83" i="63"/>
  <c r="J82" i="63"/>
  <c r="L77" i="63"/>
  <c r="J76" i="63"/>
  <c r="L71" i="63"/>
  <c r="J70" i="63"/>
  <c r="L65" i="63"/>
  <c r="J64" i="63"/>
  <c r="L59" i="63"/>
  <c r="J58" i="63"/>
  <c r="L53" i="63"/>
  <c r="J52" i="63"/>
  <c r="L47" i="63"/>
  <c r="J46" i="63"/>
  <c r="L41" i="63"/>
  <c r="J40" i="63"/>
  <c r="H39" i="63"/>
  <c r="J38" i="63"/>
  <c r="L84" i="63"/>
  <c r="J83" i="63"/>
  <c r="L78" i="63"/>
  <c r="J77" i="63"/>
  <c r="L72" i="63"/>
  <c r="J71" i="63"/>
  <c r="L66" i="63"/>
  <c r="J65" i="63"/>
  <c r="L60" i="63"/>
  <c r="J59" i="63"/>
  <c r="L54" i="63"/>
  <c r="J53" i="63"/>
  <c r="L48" i="63"/>
  <c r="J47" i="63"/>
  <c r="D54" i="63"/>
  <c r="D79" i="63"/>
  <c r="D55" i="63"/>
  <c r="D80" i="63"/>
  <c r="D68" i="63"/>
  <c r="D56" i="63"/>
  <c r="D44" i="63"/>
  <c r="D81" i="63"/>
  <c r="D69" i="63"/>
  <c r="D57" i="63"/>
  <c r="D45" i="63"/>
  <c r="D66" i="63"/>
  <c r="D43" i="63"/>
  <c r="D70" i="63"/>
  <c r="D58" i="63"/>
  <c r="D46" i="63"/>
  <c r="D83" i="63"/>
  <c r="D71" i="63"/>
  <c r="D59" i="63"/>
  <c r="D47" i="63"/>
  <c r="D78" i="63"/>
  <c r="D82" i="63"/>
  <c r="D60" i="63"/>
  <c r="D48" i="63"/>
  <c r="D67" i="63"/>
  <c r="D84" i="63"/>
  <c r="D72" i="63"/>
  <c r="D85" i="63"/>
  <c r="D73" i="63"/>
  <c r="D61" i="63"/>
  <c r="D49" i="63"/>
  <c r="D42" i="63"/>
  <c r="D74" i="63"/>
  <c r="D62" i="63"/>
  <c r="D50" i="63"/>
  <c r="D87" i="63"/>
  <c r="D75" i="63"/>
  <c r="D63" i="63"/>
  <c r="D51" i="63"/>
  <c r="D39" i="63"/>
  <c r="D86" i="63"/>
  <c r="D76" i="63"/>
  <c r="D64" i="63"/>
  <c r="D40" i="63"/>
  <c r="D38" i="63"/>
  <c r="D88" i="63"/>
  <c r="D52" i="63"/>
  <c r="D77" i="63"/>
  <c r="D65" i="63"/>
  <c r="D53" i="63"/>
  <c r="M24" i="63"/>
  <c r="M23" i="63"/>
  <c r="J14" i="63"/>
  <c r="J17" i="63" s="1"/>
  <c r="N14" i="63"/>
  <c r="N17" i="63" s="1"/>
  <c r="H13" i="63"/>
  <c r="H16" i="63" s="1"/>
  <c r="D24" i="63"/>
  <c r="F14" i="63"/>
  <c r="F17" i="63" s="1"/>
  <c r="H24" i="63"/>
  <c r="I24" i="63"/>
  <c r="K13" i="63"/>
  <c r="K16" i="63" s="1"/>
  <c r="I23" i="63"/>
  <c r="L24" i="63"/>
  <c r="E14" i="63"/>
  <c r="E18" i="63"/>
  <c r="F18" i="63"/>
  <c r="D15" i="63"/>
  <c r="D13" i="63" s="1"/>
  <c r="N18" i="63"/>
  <c r="M15" i="63"/>
  <c r="M13" i="63" s="1"/>
  <c r="H14" i="63"/>
  <c r="H17" i="63" s="1"/>
  <c r="I13" i="63"/>
  <c r="I16" i="63" s="1"/>
  <c r="J16" i="63"/>
  <c r="H18" i="63"/>
  <c r="G18" i="63"/>
  <c r="G14" i="63"/>
  <c r="G17" i="63" s="1"/>
  <c r="E17" i="63"/>
  <c r="L15" i="63"/>
  <c r="L14" i="63" s="1"/>
  <c r="J15" i="63"/>
  <c r="J18" i="63" s="1"/>
  <c r="G13" i="63"/>
  <c r="G16" i="63" s="1"/>
  <c r="I15" i="63"/>
  <c r="I14" i="63" s="1"/>
  <c r="I17" i="63" s="1"/>
  <c r="K15" i="63"/>
  <c r="K14" i="63"/>
  <c r="E13" i="63"/>
  <c r="E16" i="63" s="1"/>
  <c r="N13" i="63"/>
  <c r="N16" i="63" s="1"/>
  <c r="F13" i="63"/>
  <c r="F16" i="63" s="1"/>
  <c r="L111" i="63"/>
  <c r="K96" i="63"/>
  <c r="K327" i="62"/>
  <c r="M46" i="66" l="1"/>
  <c r="I41" i="66"/>
  <c r="M43" i="66"/>
  <c r="K42" i="66"/>
  <c r="K45" i="66"/>
  <c r="G48" i="66"/>
  <c r="K39" i="66"/>
  <c r="L48" i="66"/>
  <c r="J47" i="66"/>
  <c r="G47" i="66"/>
  <c r="K44" i="66"/>
  <c r="M48" i="66"/>
  <c r="F45" i="66"/>
  <c r="L45" i="66"/>
  <c r="M40" i="66"/>
  <c r="J44" i="66"/>
  <c r="K43" i="66"/>
  <c r="H43" i="66"/>
  <c r="H46" i="66"/>
  <c r="K48" i="66"/>
  <c r="N40" i="66"/>
  <c r="G46" i="66"/>
  <c r="L39" i="66"/>
  <c r="F48" i="66"/>
  <c r="F46" i="66"/>
  <c r="E43" i="66"/>
  <c r="F39" i="66"/>
  <c r="I40" i="66"/>
  <c r="I47" i="66"/>
  <c r="E40" i="66"/>
  <c r="E42" i="66"/>
  <c r="I43" i="66"/>
  <c r="I46" i="66"/>
  <c r="F41" i="66"/>
  <c r="J39" i="66"/>
  <c r="E39" i="66"/>
  <c r="I44" i="66"/>
  <c r="L41" i="66"/>
  <c r="J40" i="66"/>
  <c r="G45" i="66"/>
  <c r="N39" i="66"/>
  <c r="I48" i="66"/>
  <c r="J43" i="66"/>
  <c r="E44" i="66"/>
  <c r="L47" i="66"/>
  <c r="M42" i="66"/>
  <c r="E45" i="66"/>
  <c r="E47" i="66"/>
  <c r="H39" i="66"/>
  <c r="N41" i="66"/>
  <c r="H45" i="66"/>
  <c r="H48" i="66"/>
  <c r="L46" i="66"/>
  <c r="E48" i="66"/>
  <c r="E46" i="66"/>
  <c r="N45" i="66"/>
  <c r="H44" i="66"/>
  <c r="L44" i="66"/>
  <c r="K47" i="66"/>
  <c r="H42" i="66"/>
  <c r="L40" i="66"/>
  <c r="J46" i="66"/>
  <c r="K41" i="66"/>
  <c r="N42" i="66"/>
  <c r="J45" i="66"/>
  <c r="E20" i="65"/>
  <c r="E68" i="65"/>
  <c r="E69" i="65"/>
  <c r="F78" i="65"/>
  <c r="F67" i="65"/>
  <c r="F56" i="65"/>
  <c r="F46" i="65"/>
  <c r="F36" i="65"/>
  <c r="F24" i="65"/>
  <c r="E67" i="65"/>
  <c r="F45" i="65"/>
  <c r="F35" i="65"/>
  <c r="F76" i="65"/>
  <c r="F66" i="65"/>
  <c r="F55" i="65"/>
  <c r="F44" i="65"/>
  <c r="F34" i="65"/>
  <c r="F22" i="65"/>
  <c r="F75" i="65"/>
  <c r="F65" i="65"/>
  <c r="E55" i="65"/>
  <c r="F33" i="65"/>
  <c r="F21" i="65"/>
  <c r="F74" i="65"/>
  <c r="F64" i="65"/>
  <c r="F54" i="65"/>
  <c r="F43" i="65"/>
  <c r="F32" i="65"/>
  <c r="F20" i="65"/>
  <c r="F73" i="65"/>
  <c r="F63" i="65"/>
  <c r="F53" i="65"/>
  <c r="E43" i="65"/>
  <c r="F31" i="65"/>
  <c r="F19" i="65"/>
  <c r="F72" i="65"/>
  <c r="F62" i="65"/>
  <c r="F52" i="65"/>
  <c r="F42" i="65"/>
  <c r="F30" i="65"/>
  <c r="F71" i="65"/>
  <c r="F61" i="65"/>
  <c r="F51" i="65"/>
  <c r="F41" i="65"/>
  <c r="F29" i="65"/>
  <c r="F70" i="65"/>
  <c r="F60" i="65"/>
  <c r="F50" i="65"/>
  <c r="F40" i="65"/>
  <c r="F28" i="65"/>
  <c r="F69" i="65"/>
  <c r="F59" i="65"/>
  <c r="F49" i="65"/>
  <c r="F39" i="65"/>
  <c r="F27" i="65"/>
  <c r="F68" i="65"/>
  <c r="F58" i="65"/>
  <c r="F48" i="65"/>
  <c r="F38" i="65"/>
  <c r="F26" i="65"/>
  <c r="F57" i="65"/>
  <c r="F47" i="65"/>
  <c r="F37" i="65"/>
  <c r="F25" i="65"/>
  <c r="F77" i="65"/>
  <c r="F23" i="65"/>
  <c r="E44" i="65"/>
  <c r="E45" i="65"/>
  <c r="E56" i="65"/>
  <c r="C71" i="65"/>
  <c r="G71" i="65" s="1"/>
  <c r="E70" i="65"/>
  <c r="C59" i="65"/>
  <c r="G59" i="65" s="1"/>
  <c r="E58" i="65"/>
  <c r="C47" i="65"/>
  <c r="G47" i="65" s="1"/>
  <c r="E46" i="65"/>
  <c r="E31" i="65"/>
  <c r="E39" i="65"/>
  <c r="E37" i="65"/>
  <c r="E22" i="65"/>
  <c r="E36" i="65"/>
  <c r="E33" i="65"/>
  <c r="E19" i="65"/>
  <c r="E41" i="65"/>
  <c r="E35" i="65"/>
  <c r="E40" i="65"/>
  <c r="E34" i="65"/>
  <c r="E42" i="65"/>
  <c r="E38" i="65"/>
  <c r="E21" i="65"/>
  <c r="E32" i="65"/>
  <c r="C8" i="65"/>
  <c r="C23" i="65"/>
  <c r="G31" i="64"/>
  <c r="J75" i="64"/>
  <c r="J76" i="64"/>
  <c r="D53" i="64"/>
  <c r="D13" i="64" s="1"/>
  <c r="D54" i="64"/>
  <c r="N75" i="64"/>
  <c r="N76" i="64"/>
  <c r="N43" i="63"/>
  <c r="N49" i="63"/>
  <c r="N55" i="63"/>
  <c r="N61" i="63"/>
  <c r="N67" i="63"/>
  <c r="N73" i="63"/>
  <c r="N79" i="63"/>
  <c r="N85" i="63"/>
  <c r="N42" i="63"/>
  <c r="N48" i="63"/>
  <c r="N54" i="63"/>
  <c r="N60" i="63"/>
  <c r="N66" i="63"/>
  <c r="N72" i="63"/>
  <c r="N78" i="63"/>
  <c r="N84" i="63"/>
  <c r="N41" i="63"/>
  <c r="N47" i="63"/>
  <c r="N53" i="63"/>
  <c r="N59" i="63"/>
  <c r="N65" i="63"/>
  <c r="N71" i="63"/>
  <c r="N77" i="63"/>
  <c r="N83" i="63"/>
  <c r="N38" i="63"/>
  <c r="N40" i="63"/>
  <c r="N46" i="63"/>
  <c r="N52" i="63"/>
  <c r="N58" i="63"/>
  <c r="N64" i="63"/>
  <c r="N70" i="63"/>
  <c r="N76" i="63"/>
  <c r="N82" i="63"/>
  <c r="N88" i="63"/>
  <c r="N44" i="63"/>
  <c r="N56" i="63"/>
  <c r="N39" i="63"/>
  <c r="N45" i="63"/>
  <c r="N51" i="63"/>
  <c r="N57" i="63"/>
  <c r="N63" i="63"/>
  <c r="N69" i="63"/>
  <c r="N75" i="63"/>
  <c r="N81" i="63"/>
  <c r="N87" i="63"/>
  <c r="N68" i="63"/>
  <c r="N74" i="63"/>
  <c r="N80" i="63"/>
  <c r="N86" i="63"/>
  <c r="N50" i="63"/>
  <c r="N62" i="63"/>
  <c r="H23" i="63"/>
  <c r="N24" i="63"/>
  <c r="N23" i="63"/>
  <c r="E23" i="63"/>
  <c r="E24" i="63"/>
  <c r="F23" i="63"/>
  <c r="F24" i="63"/>
  <c r="G23" i="63"/>
  <c r="G24" i="63"/>
  <c r="D18" i="63"/>
  <c r="I18" i="63"/>
  <c r="M18" i="63"/>
  <c r="D14" i="63"/>
  <c r="D17" i="63" s="1"/>
  <c r="M14" i="63"/>
  <c r="L13" i="63"/>
  <c r="L16" i="63" s="1"/>
  <c r="D121" i="63"/>
  <c r="D107" i="63"/>
  <c r="D108" i="63"/>
  <c r="D134" i="63"/>
  <c r="D97" i="63"/>
  <c r="K125" i="63"/>
  <c r="J100" i="63"/>
  <c r="K103" i="63"/>
  <c r="K138" i="63"/>
  <c r="K97" i="63"/>
  <c r="K118" i="63"/>
  <c r="K100" i="63"/>
  <c r="K107" i="63"/>
  <c r="L132" i="63"/>
  <c r="L141" i="63"/>
  <c r="K94" i="63"/>
  <c r="L128" i="63"/>
  <c r="K139" i="63"/>
  <c r="K127" i="63"/>
  <c r="K111" i="63"/>
  <c r="K108" i="63"/>
  <c r="K110" i="63"/>
  <c r="K116" i="63"/>
  <c r="K104" i="63"/>
  <c r="J120" i="63"/>
  <c r="K115" i="63"/>
  <c r="D115" i="63"/>
  <c r="K133" i="63"/>
  <c r="K102" i="63"/>
  <c r="D95" i="63"/>
  <c r="K119" i="63"/>
  <c r="K135" i="63"/>
  <c r="J132" i="63"/>
  <c r="J105" i="63"/>
  <c r="D133" i="63"/>
  <c r="J98" i="63"/>
  <c r="K121" i="63"/>
  <c r="D132" i="63"/>
  <c r="K131" i="63"/>
  <c r="J115" i="63"/>
  <c r="K126" i="63"/>
  <c r="J108" i="63"/>
  <c r="K105" i="63"/>
  <c r="K120" i="63"/>
  <c r="K99" i="63"/>
  <c r="D119" i="63"/>
  <c r="D94" i="63"/>
  <c r="J96" i="63"/>
  <c r="J121" i="63"/>
  <c r="K122" i="63"/>
  <c r="K134" i="63"/>
  <c r="K128" i="63"/>
  <c r="J126" i="63"/>
  <c r="D96" i="63"/>
  <c r="J112" i="63"/>
  <c r="K117" i="63"/>
  <c r="J139" i="63"/>
  <c r="K130" i="63"/>
  <c r="D120" i="63"/>
  <c r="J99" i="63"/>
  <c r="K106" i="63"/>
  <c r="J142" i="63"/>
  <c r="J128" i="63"/>
  <c r="J127" i="63"/>
  <c r="K141" i="63"/>
  <c r="J124" i="63"/>
  <c r="K129" i="63"/>
  <c r="K132" i="63"/>
  <c r="K113" i="63"/>
  <c r="K114" i="63"/>
  <c r="L123" i="63"/>
  <c r="L125" i="63"/>
  <c r="L133" i="63"/>
  <c r="L119" i="63"/>
  <c r="L97" i="63"/>
  <c r="L137" i="63"/>
  <c r="L131" i="63"/>
  <c r="F95" i="63"/>
  <c r="F101" i="63"/>
  <c r="F108" i="63"/>
  <c r="F119" i="63"/>
  <c r="F125" i="63"/>
  <c r="F123" i="63"/>
  <c r="F109" i="63"/>
  <c r="F115" i="63"/>
  <c r="F98" i="63"/>
  <c r="F105" i="63"/>
  <c r="F111" i="63"/>
  <c r="F132" i="63"/>
  <c r="F138" i="63"/>
  <c r="F103" i="63"/>
  <c r="F110" i="63"/>
  <c r="F117" i="63"/>
  <c r="F131" i="63"/>
  <c r="F116" i="63"/>
  <c r="F96" i="63"/>
  <c r="F102" i="63"/>
  <c r="F104" i="63"/>
  <c r="F118" i="63"/>
  <c r="F124" i="63"/>
  <c r="F97" i="63"/>
  <c r="F137" i="63"/>
  <c r="F106" i="63"/>
  <c r="F122" i="63"/>
  <c r="F128" i="63"/>
  <c r="F130" i="63"/>
  <c r="F126" i="63"/>
  <c r="F134" i="63"/>
  <c r="F142" i="63"/>
  <c r="F114" i="63"/>
  <c r="F127" i="63"/>
  <c r="F129" i="63"/>
  <c r="F135" i="63"/>
  <c r="F139" i="63"/>
  <c r="F112" i="63"/>
  <c r="F94" i="63"/>
  <c r="F140" i="63"/>
  <c r="F121" i="63"/>
  <c r="F133" i="63"/>
  <c r="F99" i="63"/>
  <c r="F107" i="63"/>
  <c r="F120" i="63"/>
  <c r="F100" i="63"/>
  <c r="F141" i="63"/>
  <c r="F113" i="63"/>
  <c r="F136" i="63"/>
  <c r="L115" i="63"/>
  <c r="L94" i="63"/>
  <c r="L98" i="63"/>
  <c r="D103" i="63"/>
  <c r="D104" i="63"/>
  <c r="D118" i="63"/>
  <c r="D117" i="63"/>
  <c r="D116" i="63"/>
  <c r="D130" i="63"/>
  <c r="D129" i="63"/>
  <c r="D141" i="63"/>
  <c r="D105" i="63"/>
  <c r="D140" i="63"/>
  <c r="D142" i="63"/>
  <c r="D128" i="63"/>
  <c r="D102" i="63"/>
  <c r="D106" i="63"/>
  <c r="J141" i="63"/>
  <c r="L130" i="63"/>
  <c r="L106" i="63"/>
  <c r="H96" i="63"/>
  <c r="H102" i="63"/>
  <c r="H109" i="63"/>
  <c r="H120" i="63"/>
  <c r="H126" i="63"/>
  <c r="H140" i="63"/>
  <c r="H132" i="63"/>
  <c r="H118" i="63"/>
  <c r="H103" i="63"/>
  <c r="H117" i="63"/>
  <c r="H99" i="63"/>
  <c r="H106" i="63"/>
  <c r="H112" i="63"/>
  <c r="H133" i="63"/>
  <c r="H139" i="63"/>
  <c r="H98" i="63"/>
  <c r="H105" i="63"/>
  <c r="H138" i="63"/>
  <c r="H124" i="63"/>
  <c r="H97" i="63"/>
  <c r="H110" i="63"/>
  <c r="H119" i="63"/>
  <c r="H125" i="63"/>
  <c r="H111" i="63"/>
  <c r="H104" i="63"/>
  <c r="H95" i="63"/>
  <c r="H107" i="63"/>
  <c r="H108" i="63"/>
  <c r="H114" i="63"/>
  <c r="H123" i="63"/>
  <c r="H127" i="63"/>
  <c r="H135" i="63"/>
  <c r="H113" i="63"/>
  <c r="H136" i="63"/>
  <c r="H134" i="63"/>
  <c r="H142" i="63"/>
  <c r="H100" i="63"/>
  <c r="H137" i="63"/>
  <c r="H131" i="63"/>
  <c r="H94" i="63"/>
  <c r="H122" i="63"/>
  <c r="H128" i="63"/>
  <c r="H130" i="63"/>
  <c r="H116" i="63"/>
  <c r="H101" i="63"/>
  <c r="H129" i="63"/>
  <c r="H115" i="63"/>
  <c r="H141" i="63"/>
  <c r="H121" i="63"/>
  <c r="D126" i="63"/>
  <c r="D136" i="63"/>
  <c r="J136" i="63"/>
  <c r="L118" i="63"/>
  <c r="M98" i="63"/>
  <c r="M105" i="63"/>
  <c r="M111" i="63"/>
  <c r="M97" i="63"/>
  <c r="M96" i="63"/>
  <c r="M102" i="63"/>
  <c r="M109" i="63"/>
  <c r="M115" i="63"/>
  <c r="M130" i="63"/>
  <c r="M136" i="63"/>
  <c r="M142" i="63"/>
  <c r="M100" i="63"/>
  <c r="M113" i="63"/>
  <c r="M122" i="63"/>
  <c r="M129" i="63"/>
  <c r="M127" i="63"/>
  <c r="M94" i="63"/>
  <c r="M95" i="63"/>
  <c r="M101" i="63"/>
  <c r="M108" i="63"/>
  <c r="M114" i="63"/>
  <c r="M128" i="63"/>
  <c r="M135" i="63"/>
  <c r="M121" i="63"/>
  <c r="M107" i="63"/>
  <c r="M134" i="63"/>
  <c r="M141" i="63"/>
  <c r="M123" i="63"/>
  <c r="M131" i="63"/>
  <c r="M117" i="63"/>
  <c r="M99" i="63"/>
  <c r="M140" i="63"/>
  <c r="M120" i="63"/>
  <c r="M104" i="63"/>
  <c r="M116" i="63"/>
  <c r="M106" i="63"/>
  <c r="M126" i="63"/>
  <c r="M124" i="63"/>
  <c r="M132" i="63"/>
  <c r="M103" i="63"/>
  <c r="M110" i="63"/>
  <c r="M138" i="63"/>
  <c r="M118" i="63"/>
  <c r="M137" i="63"/>
  <c r="M139" i="63"/>
  <c r="M125" i="63"/>
  <c r="M133" i="63"/>
  <c r="M119" i="63"/>
  <c r="M112" i="63"/>
  <c r="D124" i="63"/>
  <c r="J119" i="63"/>
  <c r="L126" i="63"/>
  <c r="D123" i="63"/>
  <c r="J130" i="63"/>
  <c r="J133" i="63"/>
  <c r="L139" i="63"/>
  <c r="L117" i="63"/>
  <c r="L113" i="63"/>
  <c r="L129" i="63"/>
  <c r="K109" i="63"/>
  <c r="K136" i="63"/>
  <c r="K112" i="63"/>
  <c r="K101" i="63"/>
  <c r="L110" i="63"/>
  <c r="D131" i="63"/>
  <c r="L127" i="63"/>
  <c r="L95" i="63"/>
  <c r="J114" i="63"/>
  <c r="J137" i="63"/>
  <c r="J135" i="63"/>
  <c r="J129" i="63"/>
  <c r="J123" i="63"/>
  <c r="J131" i="63"/>
  <c r="J109" i="63"/>
  <c r="J102" i="63"/>
  <c r="J117" i="63"/>
  <c r="J104" i="63"/>
  <c r="D112" i="63"/>
  <c r="J116" i="63"/>
  <c r="L96" i="63"/>
  <c r="E94" i="63"/>
  <c r="E100" i="63"/>
  <c r="E107" i="63"/>
  <c r="E113" i="63"/>
  <c r="E99" i="63"/>
  <c r="E98" i="63"/>
  <c r="E105" i="63"/>
  <c r="E111" i="63"/>
  <c r="E132" i="63"/>
  <c r="E138" i="63"/>
  <c r="E116" i="63"/>
  <c r="E123" i="63"/>
  <c r="E96" i="63"/>
  <c r="E130" i="63"/>
  <c r="E104" i="63"/>
  <c r="E118" i="63"/>
  <c r="E124" i="63"/>
  <c r="E102" i="63"/>
  <c r="E109" i="63"/>
  <c r="E136" i="63"/>
  <c r="E97" i="63"/>
  <c r="E103" i="63"/>
  <c r="E110" i="63"/>
  <c r="E117" i="63"/>
  <c r="E131" i="63"/>
  <c r="E137" i="63"/>
  <c r="E115" i="63"/>
  <c r="E126" i="63"/>
  <c r="E134" i="63"/>
  <c r="E140" i="63"/>
  <c r="E142" i="63"/>
  <c r="E127" i="63"/>
  <c r="E135" i="63"/>
  <c r="E121" i="63"/>
  <c r="E139" i="63"/>
  <c r="E120" i="63"/>
  <c r="E112" i="63"/>
  <c r="E95" i="63"/>
  <c r="E114" i="63"/>
  <c r="E108" i="63"/>
  <c r="E129" i="63"/>
  <c r="E101" i="63"/>
  <c r="E141" i="63"/>
  <c r="E125" i="63"/>
  <c r="E133" i="63"/>
  <c r="E119" i="63"/>
  <c r="E122" i="63"/>
  <c r="E106" i="63"/>
  <c r="E128" i="63"/>
  <c r="D138" i="63"/>
  <c r="J125" i="63"/>
  <c r="L120" i="63"/>
  <c r="D110" i="63"/>
  <c r="D98" i="63"/>
  <c r="D100" i="63"/>
  <c r="J95" i="63"/>
  <c r="J106" i="63"/>
  <c r="J94" i="63"/>
  <c r="L116" i="63"/>
  <c r="L109" i="63"/>
  <c r="L107" i="63"/>
  <c r="L122" i="63"/>
  <c r="K123" i="63"/>
  <c r="K124" i="63"/>
  <c r="K140" i="63"/>
  <c r="K95" i="63"/>
  <c r="G95" i="63"/>
  <c r="G101" i="63"/>
  <c r="G108" i="63"/>
  <c r="G94" i="63"/>
  <c r="G100" i="63"/>
  <c r="G99" i="63"/>
  <c r="G106" i="63"/>
  <c r="G112" i="63"/>
  <c r="G133" i="63"/>
  <c r="G139" i="63"/>
  <c r="G97" i="63"/>
  <c r="G103" i="63"/>
  <c r="G110" i="63"/>
  <c r="G137" i="63"/>
  <c r="G116" i="63"/>
  <c r="G119" i="63"/>
  <c r="G125" i="63"/>
  <c r="G124" i="63"/>
  <c r="G131" i="63"/>
  <c r="G98" i="63"/>
  <c r="G105" i="63"/>
  <c r="G111" i="63"/>
  <c r="G132" i="63"/>
  <c r="G138" i="63"/>
  <c r="G104" i="63"/>
  <c r="G118" i="63"/>
  <c r="G117" i="63"/>
  <c r="G113" i="63"/>
  <c r="G136" i="63"/>
  <c r="G122" i="63"/>
  <c r="G128" i="63"/>
  <c r="G114" i="63"/>
  <c r="G96" i="63"/>
  <c r="G123" i="63"/>
  <c r="G129" i="63"/>
  <c r="G135" i="63"/>
  <c r="G121" i="63"/>
  <c r="G130" i="63"/>
  <c r="G107" i="63"/>
  <c r="G127" i="63"/>
  <c r="G126" i="63"/>
  <c r="G134" i="63"/>
  <c r="G140" i="63"/>
  <c r="G142" i="63"/>
  <c r="G120" i="63"/>
  <c r="G109" i="63"/>
  <c r="G102" i="63"/>
  <c r="G115" i="63"/>
  <c r="G141" i="63"/>
  <c r="L138" i="63"/>
  <c r="L100" i="63"/>
  <c r="L114" i="63"/>
  <c r="L105" i="63"/>
  <c r="L108" i="63"/>
  <c r="L142" i="63"/>
  <c r="L101" i="63"/>
  <c r="D127" i="63"/>
  <c r="L103" i="63"/>
  <c r="I96" i="63"/>
  <c r="I102" i="63"/>
  <c r="I109" i="63"/>
  <c r="I95" i="63"/>
  <c r="I101" i="63"/>
  <c r="I94" i="63"/>
  <c r="I100" i="63"/>
  <c r="I107" i="63"/>
  <c r="I113" i="63"/>
  <c r="I134" i="63"/>
  <c r="I141" i="63"/>
  <c r="I98" i="63"/>
  <c r="I118" i="63"/>
  <c r="I120" i="63"/>
  <c r="I126" i="63"/>
  <c r="I140" i="63"/>
  <c r="I119" i="63"/>
  <c r="I105" i="63"/>
  <c r="I104" i="63"/>
  <c r="I99" i="63"/>
  <c r="I106" i="63"/>
  <c r="I112" i="63"/>
  <c r="I133" i="63"/>
  <c r="I139" i="63"/>
  <c r="I125" i="63"/>
  <c r="I111" i="63"/>
  <c r="I132" i="63"/>
  <c r="I138" i="63"/>
  <c r="I110" i="63"/>
  <c r="I130" i="63"/>
  <c r="I142" i="63"/>
  <c r="I108" i="63"/>
  <c r="I114" i="63"/>
  <c r="I123" i="63"/>
  <c r="I131" i="63"/>
  <c r="I103" i="63"/>
  <c r="I124" i="63"/>
  <c r="I137" i="63"/>
  <c r="I136" i="63"/>
  <c r="I122" i="63"/>
  <c r="I128" i="63"/>
  <c r="I116" i="63"/>
  <c r="I115" i="63"/>
  <c r="I127" i="63"/>
  <c r="I135" i="63"/>
  <c r="I97" i="63"/>
  <c r="I129" i="63"/>
  <c r="I121" i="63"/>
  <c r="I117" i="63"/>
  <c r="D139" i="63"/>
  <c r="D114" i="63"/>
  <c r="J138" i="63"/>
  <c r="J110" i="63"/>
  <c r="L121" i="63"/>
  <c r="D101" i="63"/>
  <c r="J118" i="63"/>
  <c r="J134" i="63"/>
  <c r="J103" i="63"/>
  <c r="L112" i="63"/>
  <c r="L99" i="63"/>
  <c r="D113" i="63"/>
  <c r="J113" i="63"/>
  <c r="J97" i="63"/>
  <c r="L140" i="63"/>
  <c r="D99" i="63"/>
  <c r="D125" i="63"/>
  <c r="J122" i="63"/>
  <c r="J107" i="63"/>
  <c r="L124" i="63"/>
  <c r="L134" i="63"/>
  <c r="D135" i="63"/>
  <c r="D137" i="63"/>
  <c r="N99" i="63"/>
  <c r="N106" i="63"/>
  <c r="N116" i="63"/>
  <c r="N123" i="63"/>
  <c r="N128" i="63"/>
  <c r="N135" i="63"/>
  <c r="N94" i="63"/>
  <c r="N107" i="63"/>
  <c r="N96" i="63"/>
  <c r="N102" i="63"/>
  <c r="N109" i="63"/>
  <c r="N115" i="63"/>
  <c r="N130" i="63"/>
  <c r="N136" i="63"/>
  <c r="N95" i="63"/>
  <c r="N101" i="63"/>
  <c r="N127" i="63"/>
  <c r="N142" i="63"/>
  <c r="N100" i="63"/>
  <c r="N122" i="63"/>
  <c r="N129" i="63"/>
  <c r="N108" i="63"/>
  <c r="N114" i="63"/>
  <c r="N121" i="63"/>
  <c r="N119" i="63"/>
  <c r="N137" i="63"/>
  <c r="N98" i="63"/>
  <c r="N131" i="63"/>
  <c r="N134" i="63"/>
  <c r="N111" i="63"/>
  <c r="N124" i="63"/>
  <c r="N104" i="63"/>
  <c r="N118" i="63"/>
  <c r="N103" i="63"/>
  <c r="N110" i="63"/>
  <c r="N140" i="63"/>
  <c r="N120" i="63"/>
  <c r="N138" i="63"/>
  <c r="N113" i="63"/>
  <c r="N117" i="63"/>
  <c r="N126" i="63"/>
  <c r="N132" i="63"/>
  <c r="N97" i="63"/>
  <c r="N105" i="63"/>
  <c r="N133" i="63"/>
  <c r="N141" i="63"/>
  <c r="N139" i="63"/>
  <c r="N125" i="63"/>
  <c r="N112" i="63"/>
  <c r="D109" i="63"/>
  <c r="D122" i="63"/>
  <c r="D111" i="63"/>
  <c r="J101" i="63"/>
  <c r="J140" i="63"/>
  <c r="J111" i="63"/>
  <c r="L136" i="63"/>
  <c r="L102" i="63"/>
  <c r="L135" i="63"/>
  <c r="L104" i="63"/>
  <c r="K137" i="63"/>
  <c r="K98" i="63"/>
  <c r="K142" i="63"/>
  <c r="K92" i="63"/>
  <c r="L93" i="63"/>
  <c r="L92" i="63"/>
  <c r="J92" i="63"/>
  <c r="H92" i="63"/>
  <c r="H93" i="63"/>
  <c r="G92" i="63"/>
  <c r="G93" i="63"/>
  <c r="F92" i="63"/>
  <c r="F93" i="63"/>
  <c r="K93" i="63"/>
  <c r="M92" i="63"/>
  <c r="M93" i="63"/>
  <c r="J93" i="63"/>
  <c r="E92" i="63"/>
  <c r="E93" i="63"/>
  <c r="N92" i="63"/>
  <c r="N93" i="63"/>
  <c r="D93" i="63"/>
  <c r="D92" i="63"/>
  <c r="D25" i="63" s="1"/>
  <c r="I92" i="63"/>
  <c r="I93" i="63"/>
  <c r="G65" i="62"/>
  <c r="G17" i="62"/>
  <c r="G16" i="62" s="1"/>
  <c r="G30" i="62"/>
  <c r="I42" i="66" l="1"/>
  <c r="I45" i="66"/>
  <c r="I39" i="66"/>
  <c r="F44" i="66"/>
  <c r="F42" i="66"/>
  <c r="O42" i="66" s="1"/>
  <c r="S42" i="66" s="1"/>
  <c r="F47" i="66"/>
  <c r="F40" i="66"/>
  <c r="O40" i="66" s="1"/>
  <c r="S40" i="66" s="1"/>
  <c r="M47" i="66"/>
  <c r="M44" i="66"/>
  <c r="M39" i="66"/>
  <c r="O39" i="66" s="1"/>
  <c r="O48" i="66"/>
  <c r="S48" i="66" s="1"/>
  <c r="F43" i="66"/>
  <c r="O43" i="66" s="1"/>
  <c r="M41" i="66"/>
  <c r="O41" i="66" s="1"/>
  <c r="S41" i="66" s="1"/>
  <c r="M45" i="66"/>
  <c r="O46" i="66"/>
  <c r="D46" i="66" s="1"/>
  <c r="L54" i="66" s="1"/>
  <c r="E23" i="65"/>
  <c r="G23" i="65"/>
  <c r="C72" i="65"/>
  <c r="G72" i="65" s="1"/>
  <c r="E71" i="65"/>
  <c r="C60" i="65"/>
  <c r="G60" i="65" s="1"/>
  <c r="E59" i="65"/>
  <c r="C48" i="65"/>
  <c r="G48" i="65" s="1"/>
  <c r="E47" i="65"/>
  <c r="C24" i="65"/>
  <c r="D15" i="64"/>
  <c r="D27" i="64" s="1"/>
  <c r="D31" i="64" s="1"/>
  <c r="E13" i="64"/>
  <c r="E15" i="64" s="1"/>
  <c r="D14" i="64"/>
  <c r="D16" i="64" s="1"/>
  <c r="D28" i="64" s="1"/>
  <c r="D32" i="64" s="1"/>
  <c r="H14" i="64"/>
  <c r="H16" i="64" s="1"/>
  <c r="H28" i="64" s="1"/>
  <c r="J13" i="64"/>
  <c r="J15" i="64" s="1"/>
  <c r="J27" i="64" s="1"/>
  <c r="J31" i="64" s="1"/>
  <c r="J14" i="64"/>
  <c r="J16" i="64" s="1"/>
  <c r="J28" i="64" s="1"/>
  <c r="J32" i="64" s="1"/>
  <c r="H13" i="64"/>
  <c r="H15" i="64" s="1"/>
  <c r="H27" i="64" s="1"/>
  <c r="H31" i="64" s="1"/>
  <c r="K13" i="64"/>
  <c r="K15" i="64" s="1"/>
  <c r="K27" i="64" s="1"/>
  <c r="K31" i="64" s="1"/>
  <c r="I13" i="64"/>
  <c r="I15" i="64" s="1"/>
  <c r="I27" i="64" s="1"/>
  <c r="I31" i="64" s="1"/>
  <c r="I14" i="64"/>
  <c r="I16" i="64" s="1"/>
  <c r="I28" i="64" s="1"/>
  <c r="K14" i="64"/>
  <c r="K16" i="64" s="1"/>
  <c r="K28" i="64" s="1"/>
  <c r="K32" i="64" s="1"/>
  <c r="D27" i="63"/>
  <c r="D26" i="63"/>
  <c r="F26" i="63"/>
  <c r="E26" i="63"/>
  <c r="K27" i="63"/>
  <c r="E27" i="63"/>
  <c r="J26" i="63"/>
  <c r="N26" i="63"/>
  <c r="L27" i="63"/>
  <c r="G27" i="63"/>
  <c r="H26" i="63"/>
  <c r="M27" i="63"/>
  <c r="K26" i="63"/>
  <c r="G26" i="63"/>
  <c r="N27" i="63"/>
  <c r="F27" i="63"/>
  <c r="M26" i="63"/>
  <c r="I26" i="63"/>
  <c r="H27" i="63"/>
  <c r="L26" i="63"/>
  <c r="I27" i="63"/>
  <c r="J27" i="63"/>
  <c r="C326" i="62"/>
  <c r="G326" i="62"/>
  <c r="B17" i="62"/>
  <c r="C17" i="62"/>
  <c r="A16" i="62"/>
  <c r="A64" i="62"/>
  <c r="G64" i="62" s="1"/>
  <c r="C65" i="62"/>
  <c r="B65" i="62"/>
  <c r="A29" i="62"/>
  <c r="G29" i="62" s="1"/>
  <c r="C30" i="62"/>
  <c r="B30" i="62"/>
  <c r="A325" i="62"/>
  <c r="B326" i="62"/>
  <c r="B80" i="12"/>
  <c r="H7" i="61"/>
  <c r="H8" i="61"/>
  <c r="H9" i="61"/>
  <c r="H10" i="61"/>
  <c r="H11" i="61"/>
  <c r="H12" i="61"/>
  <c r="H13" i="61"/>
  <c r="H14" i="61"/>
  <c r="H6" i="61"/>
  <c r="E7" i="61"/>
  <c r="F7" i="61"/>
  <c r="G7" i="61"/>
  <c r="D8" i="61"/>
  <c r="E8" i="61"/>
  <c r="F8" i="61"/>
  <c r="G8" i="61"/>
  <c r="B9" i="61"/>
  <c r="C9" i="61"/>
  <c r="D9" i="61"/>
  <c r="E9" i="61"/>
  <c r="F9" i="61"/>
  <c r="G9" i="61"/>
  <c r="C10" i="61"/>
  <c r="D10" i="61"/>
  <c r="E10" i="61"/>
  <c r="F10" i="61"/>
  <c r="G10" i="61"/>
  <c r="B11" i="61"/>
  <c r="C11" i="61"/>
  <c r="D11" i="61"/>
  <c r="E11" i="61"/>
  <c r="F11" i="61"/>
  <c r="G11" i="61"/>
  <c r="B12" i="61"/>
  <c r="C12" i="61"/>
  <c r="D12" i="61"/>
  <c r="E12" i="61"/>
  <c r="F12" i="61"/>
  <c r="G12" i="61"/>
  <c r="B13" i="61"/>
  <c r="C13" i="61"/>
  <c r="D13" i="61"/>
  <c r="E13" i="61"/>
  <c r="F13" i="61"/>
  <c r="G13" i="61"/>
  <c r="B14" i="61"/>
  <c r="C14" i="61"/>
  <c r="D14" i="61"/>
  <c r="E14" i="61"/>
  <c r="F14" i="61"/>
  <c r="C6" i="61"/>
  <c r="D6" i="61"/>
  <c r="E6" i="61"/>
  <c r="F6" i="61"/>
  <c r="G6" i="61"/>
  <c r="B6" i="61"/>
  <c r="G7" i="60"/>
  <c r="G8" i="60"/>
  <c r="G9" i="60"/>
  <c r="H9" i="60" s="1"/>
  <c r="G10" i="60"/>
  <c r="I10" i="60" s="1"/>
  <c r="G11" i="60"/>
  <c r="I11" i="60" s="1"/>
  <c r="G12" i="60"/>
  <c r="I12" i="60" s="1"/>
  <c r="G13" i="60"/>
  <c r="H13" i="60" s="1"/>
  <c r="G14" i="60"/>
  <c r="I14" i="60" s="1"/>
  <c r="G15" i="60"/>
  <c r="I15" i="60" s="1"/>
  <c r="G16" i="60"/>
  <c r="I16" i="60" s="1"/>
  <c r="G17" i="60"/>
  <c r="H17" i="60" s="1"/>
  <c r="G18" i="60"/>
  <c r="I18" i="60" s="1"/>
  <c r="G19" i="60"/>
  <c r="G20" i="60"/>
  <c r="G21" i="60"/>
  <c r="H21" i="60" s="1"/>
  <c r="G22" i="60"/>
  <c r="I22" i="60" s="1"/>
  <c r="G23" i="60"/>
  <c r="I23" i="60" s="1"/>
  <c r="G24" i="60"/>
  <c r="I24" i="60" s="1"/>
  <c r="G25" i="60"/>
  <c r="I25" i="60" s="1"/>
  <c r="G26" i="60"/>
  <c r="H26" i="60" s="1"/>
  <c r="G27" i="60"/>
  <c r="I27" i="60" s="1"/>
  <c r="G28" i="60"/>
  <c r="H28" i="60" s="1"/>
  <c r="G29" i="60"/>
  <c r="H29" i="60" s="1"/>
  <c r="G30" i="60"/>
  <c r="I30" i="60" s="1"/>
  <c r="G31" i="60"/>
  <c r="G32" i="60"/>
  <c r="G33" i="60"/>
  <c r="H33" i="60" s="1"/>
  <c r="G34" i="60"/>
  <c r="I34" i="60" s="1"/>
  <c r="G35" i="60"/>
  <c r="I35" i="60" s="1"/>
  <c r="G36" i="60"/>
  <c r="H36" i="60" s="1"/>
  <c r="G37" i="60"/>
  <c r="I37" i="60" s="1"/>
  <c r="G38" i="60"/>
  <c r="I38" i="60" s="1"/>
  <c r="G39" i="60"/>
  <c r="I39" i="60" s="1"/>
  <c r="G40" i="60"/>
  <c r="I40" i="60" s="1"/>
  <c r="G41" i="60"/>
  <c r="H41" i="60" s="1"/>
  <c r="G42" i="60"/>
  <c r="I42" i="60" s="1"/>
  <c r="G43" i="60"/>
  <c r="G44" i="60"/>
  <c r="G6" i="60"/>
  <c r="I6" i="60"/>
  <c r="I44" i="60"/>
  <c r="H44" i="60"/>
  <c r="I43" i="60"/>
  <c r="H43" i="60"/>
  <c r="I41" i="60"/>
  <c r="I33" i="60"/>
  <c r="I32" i="60"/>
  <c r="H32" i="60"/>
  <c r="I31" i="60"/>
  <c r="H31" i="60"/>
  <c r="I29" i="60"/>
  <c r="I21" i="60"/>
  <c r="I20" i="60"/>
  <c r="H20" i="60"/>
  <c r="I19" i="60"/>
  <c r="H19" i="60"/>
  <c r="I17" i="60"/>
  <c r="I13" i="60"/>
  <c r="I9" i="60"/>
  <c r="I8" i="60"/>
  <c r="H8" i="60"/>
  <c r="I7" i="60"/>
  <c r="H7" i="60"/>
  <c r="G40" i="13"/>
  <c r="G39" i="13"/>
  <c r="H40" i="13"/>
  <c r="H39" i="13"/>
  <c r="H35" i="13"/>
  <c r="H34" i="13"/>
  <c r="I30" i="13"/>
  <c r="I29" i="13"/>
  <c r="H30" i="13"/>
  <c r="H29" i="13"/>
  <c r="G30" i="13"/>
  <c r="G29" i="13"/>
  <c r="F29" i="13"/>
  <c r="F30" i="13"/>
  <c r="E30" i="13"/>
  <c r="D30" i="13"/>
  <c r="I40" i="13"/>
  <c r="H41" i="13"/>
  <c r="I41" i="13" s="1"/>
  <c r="F40" i="13"/>
  <c r="F41" i="13"/>
  <c r="G41" i="13"/>
  <c r="F39" i="13"/>
  <c r="F34" i="13"/>
  <c r="F35" i="13"/>
  <c r="B30" i="13"/>
  <c r="B35" i="13"/>
  <c r="D38" i="13"/>
  <c r="C38" i="13"/>
  <c r="D41" i="13"/>
  <c r="E41" i="13" s="1"/>
  <c r="D40" i="13"/>
  <c r="E40" i="13" s="1"/>
  <c r="D35" i="13"/>
  <c r="E35" i="13" s="1"/>
  <c r="C10" i="59"/>
  <c r="B10" i="59"/>
  <c r="C14" i="59"/>
  <c r="B14" i="59"/>
  <c r="B5" i="59"/>
  <c r="B6" i="59" s="1"/>
  <c r="C5" i="59"/>
  <c r="C6" i="59" s="1"/>
  <c r="O47" i="66" l="1"/>
  <c r="O44" i="66"/>
  <c r="O45" i="66"/>
  <c r="D45" i="66" s="1"/>
  <c r="K54" i="66" s="1"/>
  <c r="S43" i="66"/>
  <c r="D43" i="66"/>
  <c r="I54" i="66" s="1"/>
  <c r="I61" i="66" s="1"/>
  <c r="D48" i="66"/>
  <c r="N54" i="66" s="1"/>
  <c r="N60" i="66" s="1"/>
  <c r="D41" i="66"/>
  <c r="G54" i="66" s="1"/>
  <c r="G59" i="66" s="1"/>
  <c r="D40" i="66"/>
  <c r="F54" i="66" s="1"/>
  <c r="F59" i="66" s="1"/>
  <c r="S46" i="66"/>
  <c r="D42" i="66"/>
  <c r="H54" i="66" s="1"/>
  <c r="H64" i="66" s="1"/>
  <c r="D47" i="66"/>
  <c r="M54" i="66" s="1"/>
  <c r="S47" i="66"/>
  <c r="L56" i="66"/>
  <c r="L65" i="66"/>
  <c r="L59" i="66"/>
  <c r="L60" i="66"/>
  <c r="L62" i="66"/>
  <c r="L57" i="66"/>
  <c r="L64" i="66"/>
  <c r="L61" i="66"/>
  <c r="L63" i="66"/>
  <c r="L58" i="66"/>
  <c r="S45" i="66"/>
  <c r="S39" i="66"/>
  <c r="D39" i="66"/>
  <c r="E54" i="66" s="1"/>
  <c r="N65" i="66"/>
  <c r="N57" i="66"/>
  <c r="N64" i="66"/>
  <c r="N58" i="66"/>
  <c r="N62" i="66"/>
  <c r="N59" i="66"/>
  <c r="N56" i="66"/>
  <c r="I57" i="66"/>
  <c r="I65" i="66"/>
  <c r="I64" i="66"/>
  <c r="I60" i="66"/>
  <c r="I59" i="66"/>
  <c r="I63" i="66"/>
  <c r="S44" i="66"/>
  <c r="D44" i="66"/>
  <c r="J54" i="66" s="1"/>
  <c r="E24" i="65"/>
  <c r="G24" i="65"/>
  <c r="C73" i="65"/>
  <c r="G73" i="65" s="1"/>
  <c r="E72" i="65"/>
  <c r="C61" i="65"/>
  <c r="G61" i="65" s="1"/>
  <c r="E60" i="65"/>
  <c r="C49" i="65"/>
  <c r="G49" i="65" s="1"/>
  <c r="E48" i="65"/>
  <c r="C25" i="65"/>
  <c r="I32" i="64"/>
  <c r="H32" i="64"/>
  <c r="E14" i="64"/>
  <c r="E16" i="64" s="1"/>
  <c r="E28" i="64" s="1"/>
  <c r="E32" i="64" s="1"/>
  <c r="E27" i="64"/>
  <c r="E31" i="64" s="1"/>
  <c r="G325" i="62"/>
  <c r="A324" i="62"/>
  <c r="A323" i="62" s="1"/>
  <c r="A322" i="62" s="1"/>
  <c r="A321" i="62" s="1"/>
  <c r="A320" i="62" s="1"/>
  <c r="A319" i="62" s="1"/>
  <c r="A318" i="62" s="1"/>
  <c r="A317" i="62" s="1"/>
  <c r="A316" i="62" s="1"/>
  <c r="A315" i="62" s="1"/>
  <c r="A314" i="62" s="1"/>
  <c r="A313" i="62" s="1"/>
  <c r="A312" i="62" s="1"/>
  <c r="A311" i="62" s="1"/>
  <c r="A310" i="62" s="1"/>
  <c r="A309" i="62" s="1"/>
  <c r="A308" i="62" s="1"/>
  <c r="A307" i="62" s="1"/>
  <c r="A306" i="62" s="1"/>
  <c r="A305" i="62" s="1"/>
  <c r="A304" i="62" s="1"/>
  <c r="A303" i="62" s="1"/>
  <c r="A302" i="62" s="1"/>
  <c r="A301" i="62" s="1"/>
  <c r="A300" i="62" s="1"/>
  <c r="A299" i="62" s="1"/>
  <c r="A298" i="62" s="1"/>
  <c r="A297" i="62" s="1"/>
  <c r="A296" i="62" s="1"/>
  <c r="A295" i="62" s="1"/>
  <c r="A294" i="62" s="1"/>
  <c r="A293" i="62" s="1"/>
  <c r="A292" i="62" s="1"/>
  <c r="A291" i="62" s="1"/>
  <c r="A290" i="62" s="1"/>
  <c r="A289" i="62" s="1"/>
  <c r="A288" i="62" s="1"/>
  <c r="A287" i="62" s="1"/>
  <c r="A286" i="62" s="1"/>
  <c r="A285" i="62" s="1"/>
  <c r="A284" i="62" s="1"/>
  <c r="A283" i="62" s="1"/>
  <c r="A282" i="62" s="1"/>
  <c r="A281" i="62" s="1"/>
  <c r="A280" i="62" s="1"/>
  <c r="A279" i="62" s="1"/>
  <c r="A278" i="62" s="1"/>
  <c r="A277" i="62" s="1"/>
  <c r="A276" i="62" s="1"/>
  <c r="A275" i="62" s="1"/>
  <c r="A274" i="62" s="1"/>
  <c r="A273" i="62" s="1"/>
  <c r="A272" i="62" s="1"/>
  <c r="A271" i="62" s="1"/>
  <c r="A270" i="62" s="1"/>
  <c r="A269" i="62" s="1"/>
  <c r="A268" i="62" s="1"/>
  <c r="A267" i="62" s="1"/>
  <c r="A266" i="62" s="1"/>
  <c r="A265" i="62" s="1"/>
  <c r="A264" i="62" s="1"/>
  <c r="A263" i="62" s="1"/>
  <c r="A262" i="62" s="1"/>
  <c r="A261" i="62" s="1"/>
  <c r="A260" i="62" s="1"/>
  <c r="A259" i="62" s="1"/>
  <c r="A258" i="62" s="1"/>
  <c r="A257" i="62" s="1"/>
  <c r="A256" i="62" s="1"/>
  <c r="A255" i="62" s="1"/>
  <c r="A254" i="62" s="1"/>
  <c r="A253" i="62" s="1"/>
  <c r="A252" i="62" s="1"/>
  <c r="A251" i="62" s="1"/>
  <c r="A250" i="62" s="1"/>
  <c r="A249" i="62" s="1"/>
  <c r="A248" i="62" s="1"/>
  <c r="A247" i="62" s="1"/>
  <c r="A246" i="62" s="1"/>
  <c r="A245" i="62" s="1"/>
  <c r="A244" i="62" s="1"/>
  <c r="A243" i="62" s="1"/>
  <c r="A242" i="62" s="1"/>
  <c r="A241" i="62" s="1"/>
  <c r="A240" i="62" s="1"/>
  <c r="A239" i="62" s="1"/>
  <c r="A238" i="62" s="1"/>
  <c r="A237" i="62" s="1"/>
  <c r="A236" i="62" s="1"/>
  <c r="A235" i="62" s="1"/>
  <c r="A234" i="62" s="1"/>
  <c r="A233" i="62" s="1"/>
  <c r="A232" i="62" s="1"/>
  <c r="A231" i="62" s="1"/>
  <c r="A230" i="62" s="1"/>
  <c r="A229" i="62" s="1"/>
  <c r="A228" i="62" s="1"/>
  <c r="A227" i="62" s="1"/>
  <c r="A226" i="62" s="1"/>
  <c r="A225" i="62" s="1"/>
  <c r="A224" i="62" s="1"/>
  <c r="A223" i="62" s="1"/>
  <c r="A222" i="62" s="1"/>
  <c r="A221" i="62" s="1"/>
  <c r="A220" i="62" s="1"/>
  <c r="A219" i="62" s="1"/>
  <c r="A218" i="62" s="1"/>
  <c r="A217" i="62" s="1"/>
  <c r="A216" i="62" s="1"/>
  <c r="A215" i="62" s="1"/>
  <c r="A214" i="62" s="1"/>
  <c r="A213" i="62" s="1"/>
  <c r="A212" i="62" s="1"/>
  <c r="A211" i="62" s="1"/>
  <c r="A210" i="62" s="1"/>
  <c r="A209" i="62" s="1"/>
  <c r="A208" i="62" s="1"/>
  <c r="A207" i="62" s="1"/>
  <c r="A206" i="62" s="1"/>
  <c r="A205" i="62" s="1"/>
  <c r="A204" i="62" s="1"/>
  <c r="A203" i="62" s="1"/>
  <c r="A202" i="62" s="1"/>
  <c r="A201" i="62" s="1"/>
  <c r="A200" i="62" s="1"/>
  <c r="A199" i="62" s="1"/>
  <c r="A198" i="62" s="1"/>
  <c r="A197" i="62" s="1"/>
  <c r="A196" i="62" s="1"/>
  <c r="A195" i="62" s="1"/>
  <c r="A194" i="62" s="1"/>
  <c r="A193" i="62" s="1"/>
  <c r="A192" i="62" s="1"/>
  <c r="A191" i="62" s="1"/>
  <c r="A190" i="62" s="1"/>
  <c r="A189" i="62" s="1"/>
  <c r="A188" i="62" s="1"/>
  <c r="A187" i="62" s="1"/>
  <c r="A186" i="62" s="1"/>
  <c r="A185" i="62" s="1"/>
  <c r="A184" i="62" s="1"/>
  <c r="A183" i="62" s="1"/>
  <c r="A182" i="62" s="1"/>
  <c r="A181" i="62" s="1"/>
  <c r="A180" i="62" s="1"/>
  <c r="A179" i="62" s="1"/>
  <c r="A178" i="62" s="1"/>
  <c r="A177" i="62" s="1"/>
  <c r="A176" i="62" s="1"/>
  <c r="A175" i="62" s="1"/>
  <c r="A174" i="62" s="1"/>
  <c r="A173" i="62" s="1"/>
  <c r="A172" i="62" s="1"/>
  <c r="A171" i="62" s="1"/>
  <c r="A170" i="62" s="1"/>
  <c r="A169" i="62" s="1"/>
  <c r="A168" i="62" s="1"/>
  <c r="A167" i="62" s="1"/>
  <c r="A166" i="62" s="1"/>
  <c r="A165" i="62" s="1"/>
  <c r="A164" i="62" s="1"/>
  <c r="A163" i="62" s="1"/>
  <c r="A162" i="62" s="1"/>
  <c r="A161" i="62" s="1"/>
  <c r="A160" i="62" s="1"/>
  <c r="A159" i="62" s="1"/>
  <c r="A158" i="62" s="1"/>
  <c r="A157" i="62" s="1"/>
  <c r="A156" i="62" s="1"/>
  <c r="A155" i="62" s="1"/>
  <c r="A154" i="62" s="1"/>
  <c r="A153" i="62" s="1"/>
  <c r="A152" i="62" s="1"/>
  <c r="A151" i="62" s="1"/>
  <c r="A150" i="62" s="1"/>
  <c r="A149" i="62" s="1"/>
  <c r="A148" i="62" s="1"/>
  <c r="A147" i="62" s="1"/>
  <c r="A146" i="62" s="1"/>
  <c r="A145" i="62" s="1"/>
  <c r="A144" i="62" s="1"/>
  <c r="A143" i="62" s="1"/>
  <c r="A142" i="62" s="1"/>
  <c r="A141" i="62" s="1"/>
  <c r="A140" i="62" s="1"/>
  <c r="A139" i="62" s="1"/>
  <c r="A138" i="62" s="1"/>
  <c r="A137" i="62" s="1"/>
  <c r="A136" i="62" s="1"/>
  <c r="A135" i="62" s="1"/>
  <c r="A134" i="62" s="1"/>
  <c r="A133" i="62" s="1"/>
  <c r="A132" i="62" s="1"/>
  <c r="A131" i="62" s="1"/>
  <c r="A130" i="62" s="1"/>
  <c r="A129" i="62" s="1"/>
  <c r="A128" i="62" s="1"/>
  <c r="A127" i="62" s="1"/>
  <c r="A126" i="62" s="1"/>
  <c r="A125" i="62" s="1"/>
  <c r="A124" i="62" s="1"/>
  <c r="A123" i="62" s="1"/>
  <c r="A122" i="62" s="1"/>
  <c r="A121" i="62" s="1"/>
  <c r="A120" i="62" s="1"/>
  <c r="A119" i="62" s="1"/>
  <c r="A118" i="62" s="1"/>
  <c r="A117" i="62" s="1"/>
  <c r="A116" i="62" s="1"/>
  <c r="A115" i="62" s="1"/>
  <c r="A114" i="62" s="1"/>
  <c r="A113" i="62" s="1"/>
  <c r="A112" i="62" s="1"/>
  <c r="A111" i="62" s="1"/>
  <c r="A110" i="62" s="1"/>
  <c r="A109" i="62" s="1"/>
  <c r="A108" i="62" s="1"/>
  <c r="A107" i="62" s="1"/>
  <c r="A106" i="62" s="1"/>
  <c r="A105" i="62" s="1"/>
  <c r="A104" i="62" s="1"/>
  <c r="A103" i="62" s="1"/>
  <c r="A102" i="62" s="1"/>
  <c r="A101" i="62" s="1"/>
  <c r="A100" i="62" s="1"/>
  <c r="A99" i="62" s="1"/>
  <c r="A98" i="62" s="1"/>
  <c r="A97" i="62" s="1"/>
  <c r="A96" i="62" s="1"/>
  <c r="A95" i="62" s="1"/>
  <c r="A94" i="62" s="1"/>
  <c r="A93" i="62" s="1"/>
  <c r="A92" i="62" s="1"/>
  <c r="A91" i="62" s="1"/>
  <c r="A90" i="62" s="1"/>
  <c r="A89" i="62" s="1"/>
  <c r="A88" i="62" s="1"/>
  <c r="A87" i="62" s="1"/>
  <c r="A86" i="62" s="1"/>
  <c r="A85" i="62" s="1"/>
  <c r="A84" i="62" s="1"/>
  <c r="A83" i="62" s="1"/>
  <c r="A82" i="62" s="1"/>
  <c r="A81" i="62" s="1"/>
  <c r="A80" i="62" s="1"/>
  <c r="A79" i="62" s="1"/>
  <c r="A78" i="62" s="1"/>
  <c r="A77" i="62" s="1"/>
  <c r="A76" i="62" s="1"/>
  <c r="A75" i="62" s="1"/>
  <c r="A74" i="62" s="1"/>
  <c r="A73" i="62" s="1"/>
  <c r="A72" i="62" s="1"/>
  <c r="A71" i="62" s="1"/>
  <c r="A70" i="62" s="1"/>
  <c r="A69" i="62" s="1"/>
  <c r="G324" i="62"/>
  <c r="B325" i="62"/>
  <c r="C325" i="62"/>
  <c r="A28" i="62"/>
  <c r="G28" i="62" s="1"/>
  <c r="C29" i="62"/>
  <c r="B29" i="62"/>
  <c r="A63" i="62"/>
  <c r="G63" i="62" s="1"/>
  <c r="C64" i="62"/>
  <c r="B64" i="62"/>
  <c r="C16" i="62"/>
  <c r="B16" i="62"/>
  <c r="E18" i="62"/>
  <c r="E17" i="62" s="1"/>
  <c r="H17" i="62" s="1"/>
  <c r="B79" i="12"/>
  <c r="B78" i="12"/>
  <c r="B82" i="12"/>
  <c r="B81" i="12"/>
  <c r="I36" i="60"/>
  <c r="H11" i="60"/>
  <c r="H23" i="60"/>
  <c r="H35" i="60"/>
  <c r="H12" i="60"/>
  <c r="H24" i="60"/>
  <c r="H25" i="60"/>
  <c r="H37" i="60"/>
  <c r="I26" i="60"/>
  <c r="H15" i="60"/>
  <c r="H27" i="60"/>
  <c r="H39" i="60"/>
  <c r="H18" i="60"/>
  <c r="H30" i="60"/>
  <c r="H42" i="60"/>
  <c r="H14" i="60"/>
  <c r="H38" i="60"/>
  <c r="H10" i="60"/>
  <c r="H16" i="60"/>
  <c r="H22" i="60"/>
  <c r="H34" i="60"/>
  <c r="H40" i="60"/>
  <c r="I28" i="60"/>
  <c r="H6" i="60"/>
  <c r="G34" i="13"/>
  <c r="I39" i="13"/>
  <c r="G35" i="13"/>
  <c r="I35" i="13"/>
  <c r="B8" i="59"/>
  <c r="C8" i="59"/>
  <c r="C11" i="59"/>
  <c r="C9" i="59" s="1"/>
  <c r="B11" i="59"/>
  <c r="B9" i="59" s="1"/>
  <c r="B12" i="59"/>
  <c r="B13" i="59" s="1"/>
  <c r="C12" i="59"/>
  <c r="C44" i="12"/>
  <c r="C43" i="12"/>
  <c r="C42" i="12"/>
  <c r="C41" i="12"/>
  <c r="C40" i="12"/>
  <c r="C39" i="12"/>
  <c r="C38" i="12"/>
  <c r="I62" i="66" l="1"/>
  <c r="N61" i="66"/>
  <c r="I58" i="66"/>
  <c r="I56" i="66"/>
  <c r="N63" i="66"/>
  <c r="F60" i="66"/>
  <c r="G57" i="66"/>
  <c r="H61" i="66"/>
  <c r="H59" i="66"/>
  <c r="H62" i="66"/>
  <c r="F58" i="66"/>
  <c r="G56" i="66"/>
  <c r="G58" i="66"/>
  <c r="G65" i="66"/>
  <c r="G64" i="66"/>
  <c r="F65" i="66"/>
  <c r="F63" i="66"/>
  <c r="F57" i="66"/>
  <c r="G62" i="66"/>
  <c r="F56" i="66"/>
  <c r="G63" i="66"/>
  <c r="H60" i="66"/>
  <c r="H57" i="66"/>
  <c r="F61" i="66"/>
  <c r="G60" i="66"/>
  <c r="F64" i="66"/>
  <c r="H63" i="66"/>
  <c r="G61" i="66"/>
  <c r="F62" i="66"/>
  <c r="H65" i="66"/>
  <c r="H56" i="66"/>
  <c r="H58" i="66"/>
  <c r="J64" i="66"/>
  <c r="J65" i="66"/>
  <c r="J61" i="66"/>
  <c r="J58" i="66"/>
  <c r="J59" i="66"/>
  <c r="J57" i="66"/>
  <c r="J60" i="66"/>
  <c r="J63" i="66"/>
  <c r="J62" i="66"/>
  <c r="J56" i="66"/>
  <c r="K60" i="66"/>
  <c r="K63" i="66"/>
  <c r="K62" i="66"/>
  <c r="K59" i="66"/>
  <c r="K57" i="66"/>
  <c r="K56" i="66"/>
  <c r="K61" i="66"/>
  <c r="K65" i="66"/>
  <c r="K58" i="66"/>
  <c r="K64" i="66"/>
  <c r="E63" i="66"/>
  <c r="E65" i="66"/>
  <c r="E58" i="66"/>
  <c r="E57" i="66"/>
  <c r="E64" i="66"/>
  <c r="E62" i="66"/>
  <c r="E56" i="66"/>
  <c r="E60" i="66"/>
  <c r="E59" i="66"/>
  <c r="E61" i="66"/>
  <c r="M57" i="66"/>
  <c r="M63" i="66"/>
  <c r="M61" i="66"/>
  <c r="M60" i="66"/>
  <c r="M65" i="66"/>
  <c r="M62" i="66"/>
  <c r="M64" i="66"/>
  <c r="M58" i="66"/>
  <c r="M56" i="66"/>
  <c r="M59" i="66"/>
  <c r="E25" i="65"/>
  <c r="G25" i="65"/>
  <c r="C74" i="65"/>
  <c r="G74" i="65" s="1"/>
  <c r="E73" i="65"/>
  <c r="E61" i="65"/>
  <c r="C62" i="65"/>
  <c r="G62" i="65" s="1"/>
  <c r="C50" i="65"/>
  <c r="G50" i="65" s="1"/>
  <c r="E49" i="65"/>
  <c r="C26" i="65"/>
  <c r="A62" i="62"/>
  <c r="G62" i="62" s="1"/>
  <c r="B63" i="62"/>
  <c r="C63" i="62"/>
  <c r="E16" i="62"/>
  <c r="D17" i="62"/>
  <c r="I17" i="62" s="1"/>
  <c r="J17" i="62" s="1"/>
  <c r="A27" i="62"/>
  <c r="G27" i="62" s="1"/>
  <c r="B28" i="62"/>
  <c r="C28" i="62"/>
  <c r="G323" i="62"/>
  <c r="B324" i="62"/>
  <c r="C324" i="62"/>
  <c r="I34" i="13"/>
  <c r="C13" i="59"/>
  <c r="C15" i="59"/>
  <c r="B15" i="59"/>
  <c r="I9" i="58"/>
  <c r="I8" i="58"/>
  <c r="I7" i="58"/>
  <c r="I6" i="58"/>
  <c r="I5" i="58"/>
  <c r="I4" i="58"/>
  <c r="H9" i="58"/>
  <c r="H7" i="58"/>
  <c r="H8" i="58"/>
  <c r="H6" i="58"/>
  <c r="H5" i="58"/>
  <c r="H4" i="58"/>
  <c r="O57" i="66" l="1"/>
  <c r="D57" i="66" s="1"/>
  <c r="O64" i="66"/>
  <c r="D64" i="66" s="1"/>
  <c r="O58" i="66"/>
  <c r="D58" i="66" s="1"/>
  <c r="O62" i="66"/>
  <c r="D62" i="66" s="1"/>
  <c r="O65" i="66"/>
  <c r="D65" i="66" s="1"/>
  <c r="O63" i="66"/>
  <c r="D63" i="66" s="1"/>
  <c r="O61" i="66"/>
  <c r="D61" i="66" s="1"/>
  <c r="O59" i="66"/>
  <c r="D59" i="66" s="1"/>
  <c r="O60" i="66"/>
  <c r="D60" i="66" s="1"/>
  <c r="O56" i="66"/>
  <c r="D56" i="66" s="1"/>
  <c r="E26" i="65"/>
  <c r="G26" i="65"/>
  <c r="E74" i="65"/>
  <c r="C75" i="65"/>
  <c r="G75" i="65" s="1"/>
  <c r="C63" i="65"/>
  <c r="G63" i="65" s="1"/>
  <c r="E62" i="65"/>
  <c r="C51" i="65"/>
  <c r="G51" i="65" s="1"/>
  <c r="E50" i="65"/>
  <c r="C27" i="65"/>
  <c r="H16" i="62"/>
  <c r="B27" i="62"/>
  <c r="C27" i="62"/>
  <c r="A26" i="62"/>
  <c r="G26" i="62" s="1"/>
  <c r="D16" i="62"/>
  <c r="B323" i="62"/>
  <c r="C323" i="62"/>
  <c r="G322" i="62"/>
  <c r="A61" i="62"/>
  <c r="G61" i="62" s="1"/>
  <c r="B62" i="62"/>
  <c r="C62" i="62"/>
  <c r="H9" i="54"/>
  <c r="C89" i="56"/>
  <c r="C88" i="56"/>
  <c r="C87" i="56"/>
  <c r="C85" i="56"/>
  <c r="C84" i="56"/>
  <c r="C83" i="56"/>
  <c r="C82" i="56"/>
  <c r="C81" i="56"/>
  <c r="C80" i="56"/>
  <c r="C79" i="56"/>
  <c r="C78" i="56"/>
  <c r="C77" i="56"/>
  <c r="C75" i="56"/>
  <c r="C74" i="56"/>
  <c r="C73" i="56"/>
  <c r="C72" i="56"/>
  <c r="C71" i="56"/>
  <c r="C70" i="56"/>
  <c r="C69" i="56"/>
  <c r="C68" i="56"/>
  <c r="C67" i="56"/>
  <c r="C66" i="56"/>
  <c r="C65" i="56"/>
  <c r="C64" i="56"/>
  <c r="C63" i="56"/>
  <c r="C62" i="56"/>
  <c r="C61" i="56"/>
  <c r="C60" i="56"/>
  <c r="C58" i="56"/>
  <c r="C57" i="56"/>
  <c r="C56" i="56"/>
  <c r="C55" i="56"/>
  <c r="C54" i="56"/>
  <c r="C53" i="56"/>
  <c r="C52" i="56"/>
  <c r="C51" i="56"/>
  <c r="C50" i="56"/>
  <c r="C49" i="56"/>
  <c r="C48" i="56"/>
  <c r="C47" i="56"/>
  <c r="C46" i="56"/>
  <c r="C45" i="56"/>
  <c r="C44" i="56"/>
  <c r="C43" i="56"/>
  <c r="C42" i="56"/>
  <c r="C40" i="56"/>
  <c r="C39" i="56"/>
  <c r="C38" i="56"/>
  <c r="C37" i="56"/>
  <c r="C36" i="56"/>
  <c r="C35" i="56"/>
  <c r="C34" i="56"/>
  <c r="C33" i="56"/>
  <c r="C32" i="56"/>
  <c r="C31" i="56"/>
  <c r="C30" i="56"/>
  <c r="C29" i="56"/>
  <c r="C28" i="56"/>
  <c r="C27" i="56"/>
  <c r="C26" i="56"/>
  <c r="C25" i="56"/>
  <c r="C24" i="56"/>
  <c r="C23" i="56"/>
  <c r="C22" i="56"/>
  <c r="C21" i="56"/>
  <c r="C20" i="56"/>
  <c r="C19" i="56"/>
  <c r="C18" i="56"/>
  <c r="C17" i="56"/>
  <c r="C16" i="56"/>
  <c r="C15" i="56"/>
  <c r="C14" i="56"/>
  <c r="C13" i="56"/>
  <c r="C12" i="56"/>
  <c r="C11" i="56"/>
  <c r="C10" i="56"/>
  <c r="C8" i="56"/>
  <c r="E27" i="65" l="1"/>
  <c r="G27" i="65"/>
  <c r="C76" i="65"/>
  <c r="G76" i="65" s="1"/>
  <c r="E75" i="65"/>
  <c r="C64" i="65"/>
  <c r="G64" i="65" s="1"/>
  <c r="E63" i="65"/>
  <c r="C52" i="65"/>
  <c r="G52" i="65" s="1"/>
  <c r="E51" i="65"/>
  <c r="C28" i="65"/>
  <c r="I16" i="62"/>
  <c r="D18" i="62"/>
  <c r="A60" i="62"/>
  <c r="G60" i="62" s="1"/>
  <c r="C61" i="62"/>
  <c r="B61" i="62"/>
  <c r="B26" i="62"/>
  <c r="C26" i="62"/>
  <c r="A25" i="62"/>
  <c r="G25" i="62" s="1"/>
  <c r="C322" i="62"/>
  <c r="B322" i="62"/>
  <c r="G321" i="62"/>
  <c r="B4" i="55"/>
  <c r="F21" i="55" s="1"/>
  <c r="F20" i="55" s="1"/>
  <c r="H19" i="55" s="1"/>
  <c r="B5" i="55"/>
  <c r="B6" i="55"/>
  <c r="E10" i="55"/>
  <c r="D11" i="55"/>
  <c r="D12" i="55" s="1"/>
  <c r="E12" i="55" s="1"/>
  <c r="E11" i="55"/>
  <c r="F11" i="55"/>
  <c r="D15" i="55"/>
  <c r="D14" i="55" s="1"/>
  <c r="E14" i="55" s="1"/>
  <c r="E15" i="55"/>
  <c r="E16" i="55"/>
  <c r="E21" i="55"/>
  <c r="D22" i="55"/>
  <c r="D23" i="55" s="1"/>
  <c r="E23" i="55" s="1"/>
  <c r="E22" i="55"/>
  <c r="D26" i="55"/>
  <c r="D25" i="55" s="1"/>
  <c r="E25" i="55" s="1"/>
  <c r="E26" i="55"/>
  <c r="E27" i="55"/>
  <c r="F27" i="55"/>
  <c r="F28" i="55" s="1"/>
  <c r="H29" i="55" s="1"/>
  <c r="E32" i="55"/>
  <c r="D33" i="55"/>
  <c r="D34" i="55" s="1"/>
  <c r="E34" i="55" s="1"/>
  <c r="E33" i="55"/>
  <c r="D37" i="55"/>
  <c r="D36" i="55" s="1"/>
  <c r="E36" i="55" s="1"/>
  <c r="E37" i="55"/>
  <c r="E38" i="55"/>
  <c r="E43" i="55"/>
  <c r="F43" i="55"/>
  <c r="F42" i="55" s="1"/>
  <c r="H41" i="55" s="1"/>
  <c r="D44" i="55"/>
  <c r="D45" i="55" s="1"/>
  <c r="E45" i="55" s="1"/>
  <c r="E44" i="55"/>
  <c r="D48" i="55"/>
  <c r="D47" i="55" s="1"/>
  <c r="E47" i="55" s="1"/>
  <c r="E48" i="55"/>
  <c r="E49" i="55"/>
  <c r="E54" i="55"/>
  <c r="D55" i="55"/>
  <c r="D56" i="55" s="1"/>
  <c r="E56" i="55" s="1"/>
  <c r="E55" i="55"/>
  <c r="F55" i="55"/>
  <c r="D59" i="55"/>
  <c r="D58" i="55" s="1"/>
  <c r="E58" i="55" s="1"/>
  <c r="E59" i="55"/>
  <c r="E60" i="55"/>
  <c r="D63" i="55"/>
  <c r="E63" i="55"/>
  <c r="E64" i="55"/>
  <c r="D64" i="55" s="1"/>
  <c r="D65" i="55"/>
  <c r="D66" i="55"/>
  <c r="F66" i="55"/>
  <c r="H4" i="54"/>
  <c r="H5" i="54"/>
  <c r="H6" i="54"/>
  <c r="H7" i="54"/>
  <c r="H8" i="54"/>
  <c r="B81" i="46"/>
  <c r="B80" i="46"/>
  <c r="B79" i="46"/>
  <c r="B78" i="46"/>
  <c r="B77" i="46"/>
  <c r="B76" i="46"/>
  <c r="B74" i="46"/>
  <c r="G67" i="12"/>
  <c r="F67" i="12"/>
  <c r="F62" i="12"/>
  <c r="D61" i="12"/>
  <c r="F61" i="12" s="1"/>
  <c r="G61" i="12" s="1"/>
  <c r="D63" i="12"/>
  <c r="F63" i="12" s="1"/>
  <c r="G63" i="12" s="1"/>
  <c r="D64" i="12"/>
  <c r="F64" i="12" s="1"/>
  <c r="G64" i="12" s="1"/>
  <c r="D65" i="12"/>
  <c r="F65" i="12" s="1"/>
  <c r="G65" i="12" s="1"/>
  <c r="D66" i="12"/>
  <c r="F66" i="12" s="1"/>
  <c r="G66" i="12" s="1"/>
  <c r="D60" i="12"/>
  <c r="F60" i="12" s="1"/>
  <c r="G60" i="12" s="1"/>
  <c r="K19" i="12"/>
  <c r="K15" i="12"/>
  <c r="K16" i="12" s="1"/>
  <c r="J28" i="12"/>
  <c r="D27" i="12"/>
  <c r="D28" i="12"/>
  <c r="D29" i="12"/>
  <c r="D30" i="12"/>
  <c r="D31" i="12"/>
  <c r="D32" i="12"/>
  <c r="E71" i="12"/>
  <c r="F71" i="12" s="1"/>
  <c r="G71" i="12" s="1"/>
  <c r="D26" i="12"/>
  <c r="F27" i="12"/>
  <c r="H27" i="12" s="1"/>
  <c r="F28" i="12"/>
  <c r="H28" i="12" s="1"/>
  <c r="F29" i="12"/>
  <c r="F30" i="12"/>
  <c r="H30" i="12" s="1"/>
  <c r="L30" i="12" s="1"/>
  <c r="F31" i="12"/>
  <c r="F32" i="12"/>
  <c r="F26" i="12"/>
  <c r="C57" i="12"/>
  <c r="C56" i="12"/>
  <c r="C55" i="12"/>
  <c r="C54" i="12"/>
  <c r="C53" i="12"/>
  <c r="C52" i="12"/>
  <c r="C51" i="12"/>
  <c r="E28" i="65" l="1"/>
  <c r="G28" i="65"/>
  <c r="C77" i="65"/>
  <c r="G77" i="65" s="1"/>
  <c r="E76" i="65"/>
  <c r="C65" i="65"/>
  <c r="G65" i="65" s="1"/>
  <c r="E64" i="65"/>
  <c r="C53" i="65"/>
  <c r="G53" i="65" s="1"/>
  <c r="E52" i="65"/>
  <c r="C29" i="65"/>
  <c r="E88" i="12"/>
  <c r="E87" i="12"/>
  <c r="C87" i="12"/>
  <c r="C88" i="12"/>
  <c r="J16" i="62"/>
  <c r="J18" i="62" s="1"/>
  <c r="I18" i="62"/>
  <c r="A24" i="62"/>
  <c r="G24" i="62" s="1"/>
  <c r="B25" i="62"/>
  <c r="C25" i="62"/>
  <c r="C321" i="62"/>
  <c r="B321" i="62"/>
  <c r="G320" i="62"/>
  <c r="A59" i="62"/>
  <c r="G59" i="62" s="1"/>
  <c r="C60" i="62"/>
  <c r="B60" i="62"/>
  <c r="F42" i="12"/>
  <c r="D42" i="12"/>
  <c r="H26" i="12"/>
  <c r="L26" i="12" s="1"/>
  <c r="F40" i="12"/>
  <c r="D53" i="12"/>
  <c r="D40" i="12"/>
  <c r="F53" i="12"/>
  <c r="D38" i="12"/>
  <c r="D44" i="12"/>
  <c r="D43" i="12"/>
  <c r="D41" i="12"/>
  <c r="D39" i="12"/>
  <c r="F52" i="12"/>
  <c r="F39" i="12"/>
  <c r="G39" i="12" s="1"/>
  <c r="D52" i="12"/>
  <c r="L27" i="12"/>
  <c r="J53" i="12"/>
  <c r="K53" i="12" s="1"/>
  <c r="J40" i="12"/>
  <c r="K40" i="12" s="1"/>
  <c r="H53" i="12"/>
  <c r="H31" i="12"/>
  <c r="L31" i="12" s="1"/>
  <c r="H32" i="12"/>
  <c r="D57" i="12" s="1"/>
  <c r="F60" i="55"/>
  <c r="F61" i="55" s="1"/>
  <c r="F48" i="55"/>
  <c r="F59" i="55"/>
  <c r="F32" i="55"/>
  <c r="F31" i="55" s="1"/>
  <c r="H30" i="55" s="1"/>
  <c r="F15" i="55"/>
  <c r="F38" i="55"/>
  <c r="F39" i="55" s="1"/>
  <c r="H40" i="55" s="1"/>
  <c r="F64" i="55"/>
  <c r="F54" i="55"/>
  <c r="F53" i="55" s="1"/>
  <c r="H52" i="55" s="1"/>
  <c r="F22" i="55"/>
  <c r="G22" i="55" s="1"/>
  <c r="F10" i="55"/>
  <c r="F9" i="55" s="1"/>
  <c r="H8" i="55" s="1"/>
  <c r="F37" i="55"/>
  <c r="G38" i="55" s="1"/>
  <c r="F49" i="55"/>
  <c r="F50" i="55" s="1"/>
  <c r="H51" i="55" s="1"/>
  <c r="F44" i="55"/>
  <c r="G44" i="55" s="1"/>
  <c r="F16" i="55"/>
  <c r="F17" i="55" s="1"/>
  <c r="H18" i="55" s="1"/>
  <c r="G16" i="55"/>
  <c r="F26" i="55"/>
  <c r="G27" i="55" s="1"/>
  <c r="F33" i="55"/>
  <c r="G33" i="55" s="1"/>
  <c r="G49" i="55"/>
  <c r="G60" i="55"/>
  <c r="H62" i="55"/>
  <c r="F12" i="55"/>
  <c r="G12" i="55" s="1"/>
  <c r="F65" i="55"/>
  <c r="F63" i="55"/>
  <c r="F58" i="55"/>
  <c r="G59" i="55" s="1"/>
  <c r="F47" i="55"/>
  <c r="G48" i="55" s="1"/>
  <c r="F36" i="55"/>
  <c r="F25" i="55"/>
  <c r="G26" i="55" s="1"/>
  <c r="F14" i="55"/>
  <c r="G15" i="55" s="1"/>
  <c r="F56" i="55"/>
  <c r="G56" i="55" s="1"/>
  <c r="F45" i="55"/>
  <c r="G45" i="55" s="1"/>
  <c r="F34" i="55"/>
  <c r="G34" i="55" s="1"/>
  <c r="F23" i="55"/>
  <c r="K28" i="12"/>
  <c r="L28" i="12"/>
  <c r="I30" i="12"/>
  <c r="G29" i="12"/>
  <c r="I27" i="12"/>
  <c r="G30" i="12"/>
  <c r="G27" i="12"/>
  <c r="G28" i="12"/>
  <c r="G26" i="12"/>
  <c r="G32" i="12"/>
  <c r="G31" i="12"/>
  <c r="H56" i="12"/>
  <c r="E31" i="12"/>
  <c r="H71" i="12"/>
  <c r="E28" i="12"/>
  <c r="E32" i="12"/>
  <c r="E26" i="12"/>
  <c r="H29" i="12"/>
  <c r="L29" i="12" s="1"/>
  <c r="E27" i="12"/>
  <c r="E30" i="12"/>
  <c r="H54" i="12"/>
  <c r="H57" i="12"/>
  <c r="E29" i="12"/>
  <c r="B4" i="50"/>
  <c r="D7" i="50" s="1"/>
  <c r="C7" i="50"/>
  <c r="A8" i="50"/>
  <c r="A9" i="50" s="1"/>
  <c r="C8" i="50"/>
  <c r="B9" i="50"/>
  <c r="B11" i="50" s="1"/>
  <c r="B13" i="50" s="1"/>
  <c r="B15" i="50" s="1"/>
  <c r="B17" i="50" s="1"/>
  <c r="B19" i="50" s="1"/>
  <c r="B21" i="50" s="1"/>
  <c r="B23" i="50" s="1"/>
  <c r="B25" i="50" s="1"/>
  <c r="B27" i="50" s="1"/>
  <c r="B10" i="50"/>
  <c r="B12" i="50" s="1"/>
  <c r="B14" i="50" s="1"/>
  <c r="B16" i="50" s="1"/>
  <c r="B18" i="50" s="1"/>
  <c r="B20" i="50" s="1"/>
  <c r="B22" i="50" s="1"/>
  <c r="B24" i="50" s="1"/>
  <c r="B26" i="50" s="1"/>
  <c r="B28" i="50" s="1"/>
  <c r="D20" i="49"/>
  <c r="D21" i="49"/>
  <c r="D22" i="49"/>
  <c r="B19" i="49"/>
  <c r="D19" i="49" s="1"/>
  <c r="D9" i="49"/>
  <c r="D10" i="49"/>
  <c r="D11" i="49"/>
  <c r="D12" i="49"/>
  <c r="D13" i="49"/>
  <c r="B8" i="49"/>
  <c r="D8" i="49" s="1"/>
  <c r="F6" i="47"/>
  <c r="F7" i="47"/>
  <c r="F8" i="47"/>
  <c r="F9" i="47"/>
  <c r="F10" i="47"/>
  <c r="F5" i="47"/>
  <c r="E6" i="47"/>
  <c r="E7" i="47"/>
  <c r="E8" i="47"/>
  <c r="E9" i="47"/>
  <c r="E10" i="47"/>
  <c r="E5" i="47"/>
  <c r="B8" i="47"/>
  <c r="B9" i="47"/>
  <c r="B10" i="47"/>
  <c r="B7" i="47"/>
  <c r="B5" i="47"/>
  <c r="B6" i="47"/>
  <c r="B70" i="46"/>
  <c r="B69" i="46"/>
  <c r="B68" i="46"/>
  <c r="B67" i="46"/>
  <c r="B66" i="46"/>
  <c r="B65" i="46"/>
  <c r="B63" i="46"/>
  <c r="B59" i="46"/>
  <c r="B58" i="46"/>
  <c r="B57" i="46"/>
  <c r="B56" i="46"/>
  <c r="B55" i="46"/>
  <c r="B54" i="46"/>
  <c r="B52" i="46"/>
  <c r="D6" i="46"/>
  <c r="B46" i="46"/>
  <c r="B45" i="46"/>
  <c r="B44" i="46"/>
  <c r="B43" i="46"/>
  <c r="B42" i="46"/>
  <c r="B41" i="46"/>
  <c r="B39" i="46"/>
  <c r="D11" i="46"/>
  <c r="B11" i="46"/>
  <c r="D10" i="46"/>
  <c r="B10" i="46"/>
  <c r="D9" i="46"/>
  <c r="B9" i="46"/>
  <c r="D8" i="46"/>
  <c r="B8" i="46"/>
  <c r="D7" i="46"/>
  <c r="B7" i="46"/>
  <c r="B6" i="46"/>
  <c r="B4" i="46"/>
  <c r="C93" i="46"/>
  <c r="D93" i="46" s="1"/>
  <c r="E72" i="12"/>
  <c r="F72" i="12" s="1"/>
  <c r="G72" i="12" s="1"/>
  <c r="C32" i="12"/>
  <c r="C31" i="12"/>
  <c r="C30" i="12"/>
  <c r="C29" i="12"/>
  <c r="C28" i="12"/>
  <c r="C27" i="12"/>
  <c r="C26" i="12"/>
  <c r="C14" i="12"/>
  <c r="C15" i="12"/>
  <c r="C16" i="12"/>
  <c r="C17" i="12"/>
  <c r="C18" i="12"/>
  <c r="C19" i="12"/>
  <c r="C13" i="12"/>
  <c r="B30" i="46"/>
  <c r="B35" i="46"/>
  <c r="B34" i="46"/>
  <c r="B33" i="46"/>
  <c r="B32" i="46"/>
  <c r="B31" i="46"/>
  <c r="B28" i="46"/>
  <c r="B19" i="46"/>
  <c r="B20" i="46"/>
  <c r="B21" i="46"/>
  <c r="B22" i="46"/>
  <c r="B23" i="46"/>
  <c r="B18" i="46"/>
  <c r="B16" i="46"/>
  <c r="B87" i="46"/>
  <c r="B88" i="46" s="1"/>
  <c r="C88" i="46" s="1"/>
  <c r="D88" i="46" s="1"/>
  <c r="E29" i="65" l="1"/>
  <c r="G29" i="65"/>
  <c r="C78" i="65"/>
  <c r="E77" i="65"/>
  <c r="E65" i="65"/>
  <c r="C66" i="65"/>
  <c r="G66" i="65" s="1"/>
  <c r="C54" i="65"/>
  <c r="E53" i="65"/>
  <c r="C30" i="65"/>
  <c r="D51" i="12"/>
  <c r="M51" i="12" s="1"/>
  <c r="C59" i="62"/>
  <c r="B59" i="62"/>
  <c r="A58" i="62"/>
  <c r="G58" i="62" s="1"/>
  <c r="B320" i="62"/>
  <c r="C320" i="62"/>
  <c r="G319" i="62"/>
  <c r="B24" i="62"/>
  <c r="C24" i="62"/>
  <c r="A23" i="62"/>
  <c r="G23" i="62" s="1"/>
  <c r="F44" i="12"/>
  <c r="H44" i="12" s="1"/>
  <c r="F38" i="12"/>
  <c r="G38" i="12" s="1"/>
  <c r="H40" i="12"/>
  <c r="I26" i="12"/>
  <c r="F54" i="12"/>
  <c r="G54" i="12" s="1"/>
  <c r="H42" i="12"/>
  <c r="D54" i="12"/>
  <c r="H39" i="12"/>
  <c r="F41" i="12"/>
  <c r="H41" i="12"/>
  <c r="I56" i="12"/>
  <c r="I57" i="12"/>
  <c r="I53" i="12"/>
  <c r="M53" i="12"/>
  <c r="N53" i="12" s="1"/>
  <c r="F56" i="12"/>
  <c r="G56" i="12" s="1"/>
  <c r="I54" i="12"/>
  <c r="I32" i="12"/>
  <c r="L32" i="12"/>
  <c r="D56" i="12"/>
  <c r="E56" i="12" s="1"/>
  <c r="F43" i="12"/>
  <c r="H43" i="12" s="1"/>
  <c r="F57" i="12"/>
  <c r="G57" i="12" s="1"/>
  <c r="M52" i="12"/>
  <c r="N52" i="12" s="1"/>
  <c r="G52" i="12"/>
  <c r="E41" i="12"/>
  <c r="E40" i="12"/>
  <c r="E42" i="12"/>
  <c r="G40" i="12"/>
  <c r="G42" i="12"/>
  <c r="E44" i="12"/>
  <c r="E57" i="12"/>
  <c r="I31" i="12"/>
  <c r="G53" i="12"/>
  <c r="M43" i="12"/>
  <c r="N43" i="12" s="1"/>
  <c r="M39" i="12"/>
  <c r="N39" i="12" s="1"/>
  <c r="E38" i="12"/>
  <c r="M44" i="12"/>
  <c r="N44" i="12" s="1"/>
  <c r="M42" i="12"/>
  <c r="N42" i="12" s="1"/>
  <c r="M40" i="12"/>
  <c r="N40" i="12" s="1"/>
  <c r="M38" i="12"/>
  <c r="N38" i="12" s="1"/>
  <c r="M41" i="12"/>
  <c r="N41" i="12" s="1"/>
  <c r="E43" i="12"/>
  <c r="E39" i="12"/>
  <c r="D92" i="46"/>
  <c r="AB81" i="46" s="1"/>
  <c r="G55" i="55"/>
  <c r="G11" i="55"/>
  <c r="G37" i="55"/>
  <c r="G23" i="55"/>
  <c r="P54" i="46"/>
  <c r="E52" i="46"/>
  <c r="I29" i="12"/>
  <c r="E52" i="12"/>
  <c r="I28" i="12"/>
  <c r="E51" i="12"/>
  <c r="N51" i="12"/>
  <c r="I71" i="12"/>
  <c r="H72" i="12"/>
  <c r="I72" i="12" s="1"/>
  <c r="C9" i="50"/>
  <c r="D9" i="50"/>
  <c r="D8" i="50"/>
  <c r="A10" i="50"/>
  <c r="N100" i="46"/>
  <c r="F100" i="46"/>
  <c r="K101" i="46"/>
  <c r="O100" i="46"/>
  <c r="G100" i="46"/>
  <c r="L101" i="46"/>
  <c r="M100" i="46"/>
  <c r="E100" i="46"/>
  <c r="J101" i="46"/>
  <c r="L100" i="46"/>
  <c r="D101" i="46"/>
  <c r="I101" i="46"/>
  <c r="K100" i="46"/>
  <c r="P101" i="46"/>
  <c r="H101" i="46"/>
  <c r="J100" i="46"/>
  <c r="O101" i="46"/>
  <c r="G101" i="46"/>
  <c r="D100" i="46"/>
  <c r="I100" i="46"/>
  <c r="N101" i="46"/>
  <c r="F101" i="46"/>
  <c r="P100" i="46"/>
  <c r="H100" i="46"/>
  <c r="M101" i="46"/>
  <c r="E101" i="46"/>
  <c r="J30" i="46"/>
  <c r="Y30" i="46" s="1"/>
  <c r="E28" i="46"/>
  <c r="T28" i="46" s="1"/>
  <c r="F52" i="46"/>
  <c r="U52" i="46" s="1"/>
  <c r="G52" i="46"/>
  <c r="V52" i="46" s="1"/>
  <c r="AE54" i="46"/>
  <c r="O59" i="46"/>
  <c r="AD59" i="46" s="1"/>
  <c r="I54" i="46"/>
  <c r="X54" i="46" s="1"/>
  <c r="O58" i="46"/>
  <c r="AD58" i="46" s="1"/>
  <c r="O57" i="46"/>
  <c r="AD57" i="46" s="1"/>
  <c r="O56" i="46"/>
  <c r="AD56" i="46" s="1"/>
  <c r="O55" i="46"/>
  <c r="AD55" i="46" s="1"/>
  <c r="O54" i="46"/>
  <c r="AD54" i="46" s="1"/>
  <c r="N59" i="46"/>
  <c r="AC59" i="46" s="1"/>
  <c r="N56" i="46"/>
  <c r="AC56" i="46" s="1"/>
  <c r="N55" i="46"/>
  <c r="AC55" i="46" s="1"/>
  <c r="N54" i="46"/>
  <c r="AC54" i="46" s="1"/>
  <c r="I58" i="46"/>
  <c r="X58" i="46" s="1"/>
  <c r="M59" i="46"/>
  <c r="AB59" i="46" s="1"/>
  <c r="M58" i="46"/>
  <c r="AB58" i="46" s="1"/>
  <c r="M57" i="46"/>
  <c r="AB57" i="46" s="1"/>
  <c r="M56" i="46"/>
  <c r="AB56" i="46" s="1"/>
  <c r="M55" i="46"/>
  <c r="AB55" i="46" s="1"/>
  <c r="M54" i="46"/>
  <c r="AB54" i="46" s="1"/>
  <c r="N57" i="46"/>
  <c r="AC57" i="46" s="1"/>
  <c r="T52" i="46"/>
  <c r="I57" i="46"/>
  <c r="X57" i="46" s="1"/>
  <c r="L59" i="46"/>
  <c r="AA59" i="46" s="1"/>
  <c r="L58" i="46"/>
  <c r="AA58" i="46" s="1"/>
  <c r="L57" i="46"/>
  <c r="AA57" i="46" s="1"/>
  <c r="L56" i="46"/>
  <c r="AA56" i="46" s="1"/>
  <c r="L55" i="46"/>
  <c r="AA55" i="46" s="1"/>
  <c r="L54" i="46"/>
  <c r="AA54" i="46" s="1"/>
  <c r="I56" i="46"/>
  <c r="X56" i="46" s="1"/>
  <c r="K59" i="46"/>
  <c r="Z59" i="46" s="1"/>
  <c r="K58" i="46"/>
  <c r="Z58" i="46" s="1"/>
  <c r="K57" i="46"/>
  <c r="Z57" i="46" s="1"/>
  <c r="K56" i="46"/>
  <c r="Z56" i="46" s="1"/>
  <c r="K55" i="46"/>
  <c r="Z55" i="46" s="1"/>
  <c r="J54" i="46"/>
  <c r="Y54" i="46" s="1"/>
  <c r="I55" i="46"/>
  <c r="X55" i="46" s="1"/>
  <c r="J59" i="46"/>
  <c r="Y59" i="46" s="1"/>
  <c r="J58" i="46"/>
  <c r="Y58" i="46" s="1"/>
  <c r="J57" i="46"/>
  <c r="Y57" i="46" s="1"/>
  <c r="J56" i="46"/>
  <c r="Y56" i="46" s="1"/>
  <c r="J55" i="46"/>
  <c r="Y55" i="46" s="1"/>
  <c r="K54" i="46"/>
  <c r="Z54" i="46" s="1"/>
  <c r="I59" i="46"/>
  <c r="X59" i="46" s="1"/>
  <c r="H53" i="46"/>
  <c r="W53" i="46" s="1"/>
  <c r="Q59" i="46"/>
  <c r="AF59" i="46" s="1"/>
  <c r="Q58" i="46"/>
  <c r="AF58" i="46" s="1"/>
  <c r="Q57" i="46"/>
  <c r="AF57" i="46" s="1"/>
  <c r="Q56" i="46"/>
  <c r="AF56" i="46" s="1"/>
  <c r="Q55" i="46"/>
  <c r="AF55" i="46" s="1"/>
  <c r="Q54" i="46"/>
  <c r="AF54" i="46" s="1"/>
  <c r="N58" i="46"/>
  <c r="AC58" i="46" s="1"/>
  <c r="I30" i="46"/>
  <c r="X30" i="46" s="1"/>
  <c r="P59" i="46"/>
  <c r="AE59" i="46" s="1"/>
  <c r="P58" i="46"/>
  <c r="AE58" i="46" s="1"/>
  <c r="P57" i="46"/>
  <c r="AE57" i="46" s="1"/>
  <c r="P56" i="46"/>
  <c r="AE56" i="46" s="1"/>
  <c r="P55" i="46"/>
  <c r="AE55" i="46" s="1"/>
  <c r="E4" i="46"/>
  <c r="E5" i="46"/>
  <c r="E7" i="46"/>
  <c r="E6" i="46"/>
  <c r="E10" i="46"/>
  <c r="F10" i="46" s="1"/>
  <c r="G10" i="46" s="1"/>
  <c r="E9" i="46"/>
  <c r="F9" i="46" s="1"/>
  <c r="G9" i="46" s="1"/>
  <c r="E8" i="46"/>
  <c r="F8" i="46" s="1"/>
  <c r="G8" i="46" s="1"/>
  <c r="E11" i="46"/>
  <c r="F11" i="46" s="1"/>
  <c r="G11" i="46" s="1"/>
  <c r="Q35" i="46"/>
  <c r="AF35" i="46" s="1"/>
  <c r="I34" i="46"/>
  <c r="X34" i="46" s="1"/>
  <c r="I31" i="46"/>
  <c r="X31" i="46" s="1"/>
  <c r="C87" i="46"/>
  <c r="D87" i="46" s="1"/>
  <c r="E87" i="46" s="1"/>
  <c r="F87" i="46" s="1"/>
  <c r="Q30" i="46"/>
  <c r="AF30" i="46" s="1"/>
  <c r="P30" i="46"/>
  <c r="AE30" i="46" s="1"/>
  <c r="I35" i="46"/>
  <c r="X35" i="46" s="1"/>
  <c r="M32" i="46"/>
  <c r="AB32" i="46" s="1"/>
  <c r="Q34" i="46"/>
  <c r="AF34" i="46" s="1"/>
  <c r="H29" i="46"/>
  <c r="W29" i="46" s="1"/>
  <c r="K35" i="46"/>
  <c r="Z35" i="46" s="1"/>
  <c r="O32" i="46"/>
  <c r="AD32" i="46" s="1"/>
  <c r="J35" i="46"/>
  <c r="Y35" i="46" s="1"/>
  <c r="N32" i="46"/>
  <c r="AC32" i="46" s="1"/>
  <c r="K30" i="46"/>
  <c r="Z30" i="46" s="1"/>
  <c r="L34" i="46"/>
  <c r="AA34" i="46" s="1"/>
  <c r="N33" i="46"/>
  <c r="AC33" i="46" s="1"/>
  <c r="P31" i="46"/>
  <c r="AE31" i="46" s="1"/>
  <c r="L32" i="46"/>
  <c r="AA32" i="46" s="1"/>
  <c r="K34" i="46"/>
  <c r="Z34" i="46" s="1"/>
  <c r="M33" i="46"/>
  <c r="AB33" i="46" s="1"/>
  <c r="O31" i="46"/>
  <c r="AD31" i="46" s="1"/>
  <c r="J34" i="46"/>
  <c r="Y34" i="46" s="1"/>
  <c r="L33" i="46"/>
  <c r="AA33" i="46" s="1"/>
  <c r="N31" i="46"/>
  <c r="AC31" i="46" s="1"/>
  <c r="P35" i="46"/>
  <c r="AE35" i="46" s="1"/>
  <c r="K33" i="46"/>
  <c r="Z33" i="46" s="1"/>
  <c r="M31" i="46"/>
  <c r="AB31" i="46" s="1"/>
  <c r="O30" i="46"/>
  <c r="AD30" i="46" s="1"/>
  <c r="O35" i="46"/>
  <c r="AD35" i="46" s="1"/>
  <c r="P34" i="46"/>
  <c r="AE34" i="46" s="1"/>
  <c r="J33" i="46"/>
  <c r="Y33" i="46" s="1"/>
  <c r="K32" i="46"/>
  <c r="Z32" i="46" s="1"/>
  <c r="L31" i="46"/>
  <c r="AA31" i="46" s="1"/>
  <c r="N30" i="46"/>
  <c r="AC30" i="46" s="1"/>
  <c r="N35" i="46"/>
  <c r="AC35" i="46" s="1"/>
  <c r="O34" i="46"/>
  <c r="AD34" i="46" s="1"/>
  <c r="Q33" i="46"/>
  <c r="AF33" i="46" s="1"/>
  <c r="I33" i="46"/>
  <c r="X33" i="46" s="1"/>
  <c r="J32" i="46"/>
  <c r="Y32" i="46" s="1"/>
  <c r="K31" i="46"/>
  <c r="Z31" i="46" s="1"/>
  <c r="G28" i="46"/>
  <c r="V28" i="46" s="1"/>
  <c r="M30" i="46"/>
  <c r="AB30" i="46" s="1"/>
  <c r="M35" i="46"/>
  <c r="AB35" i="46" s="1"/>
  <c r="N34" i="46"/>
  <c r="AC34" i="46" s="1"/>
  <c r="P33" i="46"/>
  <c r="AE33" i="46" s="1"/>
  <c r="Q32" i="46"/>
  <c r="AF32" i="46" s="1"/>
  <c r="I32" i="46"/>
  <c r="X32" i="46" s="1"/>
  <c r="J31" i="46"/>
  <c r="Y31" i="46" s="1"/>
  <c r="F28" i="46"/>
  <c r="U28" i="46" s="1"/>
  <c r="L30" i="46"/>
  <c r="AA30" i="46" s="1"/>
  <c r="L35" i="46"/>
  <c r="AA35" i="46" s="1"/>
  <c r="M34" i="46"/>
  <c r="AB34" i="46" s="1"/>
  <c r="O33" i="46"/>
  <c r="AD33" i="46" s="1"/>
  <c r="P32" i="46"/>
  <c r="AE32" i="46" s="1"/>
  <c r="Q31" i="46"/>
  <c r="AF31" i="46" s="1"/>
  <c r="E88" i="46"/>
  <c r="F88" i="46" s="1"/>
  <c r="C11" i="21"/>
  <c r="C12" i="21"/>
  <c r="C13" i="21"/>
  <c r="C14" i="21"/>
  <c r="C15" i="21" s="1"/>
  <c r="C10" i="21"/>
  <c r="E11" i="21"/>
  <c r="E13" i="21"/>
  <c r="E9" i="21"/>
  <c r="B16" i="21"/>
  <c r="A16" i="21"/>
  <c r="B14" i="21"/>
  <c r="A14" i="21"/>
  <c r="B12" i="21"/>
  <c r="A12" i="21"/>
  <c r="B10" i="21"/>
  <c r="E30" i="65" l="1"/>
  <c r="G30" i="65"/>
  <c r="E54" i="65"/>
  <c r="G54" i="65"/>
  <c r="E78" i="65"/>
  <c r="G78" i="65"/>
  <c r="E66" i="65"/>
  <c r="G44" i="12"/>
  <c r="O39" i="12"/>
  <c r="P39" i="12" s="1"/>
  <c r="O40" i="12"/>
  <c r="P40" i="12" s="1"/>
  <c r="H38" i="12"/>
  <c r="I38" i="12" s="1"/>
  <c r="B58" i="62"/>
  <c r="C58" i="62"/>
  <c r="A57" i="62"/>
  <c r="G57" i="62" s="1"/>
  <c r="B23" i="62"/>
  <c r="C23" i="62"/>
  <c r="A22" i="62"/>
  <c r="G22" i="62" s="1"/>
  <c r="B319" i="62"/>
  <c r="C319" i="62"/>
  <c r="G318" i="62"/>
  <c r="O44" i="12"/>
  <c r="P44" i="12" s="1"/>
  <c r="M54" i="12"/>
  <c r="N54" i="12" s="1"/>
  <c r="O38" i="12"/>
  <c r="P38" i="12" s="1"/>
  <c r="O41" i="12"/>
  <c r="O43" i="12"/>
  <c r="M57" i="12"/>
  <c r="N57" i="12" s="1"/>
  <c r="O42" i="12"/>
  <c r="P42" i="12" s="1"/>
  <c r="M56" i="12"/>
  <c r="N56" i="12" s="1"/>
  <c r="AA76" i="46"/>
  <c r="AD77" i="46"/>
  <c r="X79" i="46"/>
  <c r="AC80" i="46"/>
  <c r="AA66" i="46"/>
  <c r="AF80" i="46"/>
  <c r="AA65" i="46"/>
  <c r="AD66" i="46"/>
  <c r="AF79" i="46"/>
  <c r="Q38" i="12"/>
  <c r="R38" i="12" s="1"/>
  <c r="Q39" i="12"/>
  <c r="R39" i="12" s="1"/>
  <c r="X76" i="46"/>
  <c r="AA81" i="46"/>
  <c r="AA80" i="46"/>
  <c r="AF81" i="46"/>
  <c r="X65" i="46"/>
  <c r="I42" i="12"/>
  <c r="AF65" i="46"/>
  <c r="AD81" i="46"/>
  <c r="AA70" i="46"/>
  <c r="X81" i="46"/>
  <c r="I39" i="12"/>
  <c r="G43" i="12"/>
  <c r="P43" i="12"/>
  <c r="I40" i="12"/>
  <c r="Z67" i="46"/>
  <c r="AE77" i="46"/>
  <c r="AB66" i="46"/>
  <c r="AB65" i="46"/>
  <c r="AC68" i="46"/>
  <c r="Y79" i="46"/>
  <c r="AE67" i="46"/>
  <c r="AE66" i="46"/>
  <c r="I44" i="12"/>
  <c r="G41" i="12"/>
  <c r="P41" i="12"/>
  <c r="AF69" i="46"/>
  <c r="AB80" i="46"/>
  <c r="Y69" i="46"/>
  <c r="AE70" i="46"/>
  <c r="Z76" i="46"/>
  <c r="AE81" i="46"/>
  <c r="AB70" i="46"/>
  <c r="AC69" i="46"/>
  <c r="I41" i="12"/>
  <c r="AC77" i="46"/>
  <c r="C92" i="46"/>
  <c r="AE76" i="46"/>
  <c r="AF70" i="46"/>
  <c r="AD68" i="46"/>
  <c r="Z66" i="46"/>
  <c r="Y78" i="46"/>
  <c r="Z77" i="46"/>
  <c r="Q44" i="12"/>
  <c r="R44" i="12" s="1"/>
  <c r="Q41" i="12"/>
  <c r="R41" i="12" s="1"/>
  <c r="AD79" i="46"/>
  <c r="X70" i="46"/>
  <c r="AC67" i="46"/>
  <c r="AF76" i="46"/>
  <c r="AC78" i="46"/>
  <c r="AA77" i="46"/>
  <c r="AB79" i="46"/>
  <c r="Y68" i="46"/>
  <c r="AD78" i="46"/>
  <c r="AC70" i="46"/>
  <c r="AB69" i="46"/>
  <c r="X80" i="46"/>
  <c r="AD67" i="46"/>
  <c r="Z78" i="46"/>
  <c r="AF66" i="46"/>
  <c r="AE65" i="46"/>
  <c r="X69" i="46"/>
  <c r="AC79" i="46"/>
  <c r="Z68" i="46"/>
  <c r="Y67" i="46"/>
  <c r="AF78" i="46"/>
  <c r="Y66" i="46"/>
  <c r="AF68" i="46"/>
  <c r="AD76" i="46"/>
  <c r="AE80" i="46"/>
  <c r="X68" i="46"/>
  <c r="Y77" i="46"/>
  <c r="Z81" i="46"/>
  <c r="AB68" i="46"/>
  <c r="Z80" i="46"/>
  <c r="AB67" i="46"/>
  <c r="Z70" i="46"/>
  <c r="X78" i="46"/>
  <c r="Z65" i="46"/>
  <c r="AA69" i="46"/>
  <c r="AB78" i="46"/>
  <c r="AD65" i="46"/>
  <c r="AE69" i="46"/>
  <c r="AC81" i="46"/>
  <c r="AE68" i="46"/>
  <c r="AC76" i="46"/>
  <c r="AA79" i="46"/>
  <c r="AC66" i="46"/>
  <c r="AD70" i="46"/>
  <c r="AE79" i="46"/>
  <c r="X67" i="46"/>
  <c r="Y76" i="46"/>
  <c r="X66" i="46"/>
  <c r="Y70" i="46"/>
  <c r="AF77" i="46"/>
  <c r="AD80" i="46"/>
  <c r="AF67" i="46"/>
  <c r="X77" i="46"/>
  <c r="Y81" i="46"/>
  <c r="AA68" i="46"/>
  <c r="AB77" i="46"/>
  <c r="AA67" i="46"/>
  <c r="AB76" i="46"/>
  <c r="Z79" i="46"/>
  <c r="Y65" i="46"/>
  <c r="Z69" i="46"/>
  <c r="AA78" i="46"/>
  <c r="AC65" i="46"/>
  <c r="AD69" i="46"/>
  <c r="AE78" i="46"/>
  <c r="Y80" i="46"/>
  <c r="E53" i="12"/>
  <c r="C73" i="12"/>
  <c r="E54" i="12"/>
  <c r="C10" i="50"/>
  <c r="D10" i="50" s="1"/>
  <c r="A11" i="50"/>
  <c r="I19" i="46"/>
  <c r="I42" i="46" s="1"/>
  <c r="I66" i="46" s="1"/>
  <c r="F7" i="46"/>
  <c r="G7" i="46" s="1"/>
  <c r="H17" i="46"/>
  <c r="W17" i="46" s="1"/>
  <c r="W40" i="46" s="1"/>
  <c r="W64" i="46" s="1"/>
  <c r="F5" i="46"/>
  <c r="G5" i="46" s="1"/>
  <c r="G99" i="46" s="1"/>
  <c r="E16" i="46"/>
  <c r="F4" i="46"/>
  <c r="G4" i="46" s="1"/>
  <c r="I18" i="46"/>
  <c r="I41" i="46" s="1"/>
  <c r="I65" i="46" s="1"/>
  <c r="F6" i="46"/>
  <c r="G6" i="46" s="1"/>
  <c r="G16" i="46"/>
  <c r="F16" i="46"/>
  <c r="O22" i="46"/>
  <c r="L22" i="46"/>
  <c r="L45" i="46" s="1"/>
  <c r="L69" i="46" s="1"/>
  <c r="P22" i="46"/>
  <c r="P45" i="46" s="1"/>
  <c r="P69" i="46" s="1"/>
  <c r="K22" i="46"/>
  <c r="K45" i="46" s="1"/>
  <c r="K69" i="46" s="1"/>
  <c r="I22" i="46"/>
  <c r="I45" i="46" s="1"/>
  <c r="I69" i="46" s="1"/>
  <c r="Q22" i="46"/>
  <c r="Q45" i="46" s="1"/>
  <c r="Q69" i="46" s="1"/>
  <c r="J22" i="46"/>
  <c r="J45" i="46" s="1"/>
  <c r="J69" i="46" s="1"/>
  <c r="M22" i="46"/>
  <c r="N22" i="46"/>
  <c r="P21" i="46"/>
  <c r="I21" i="46"/>
  <c r="I44" i="46" s="1"/>
  <c r="I68" i="46" s="1"/>
  <c r="Q21" i="46"/>
  <c r="Q44" i="46" s="1"/>
  <c r="Q68" i="46" s="1"/>
  <c r="J21" i="46"/>
  <c r="J44" i="46" s="1"/>
  <c r="J68" i="46" s="1"/>
  <c r="M21" i="46"/>
  <c r="M44" i="46" s="1"/>
  <c r="M68" i="46" s="1"/>
  <c r="K21" i="46"/>
  <c r="N21" i="46"/>
  <c r="L21" i="46"/>
  <c r="O21" i="46"/>
  <c r="N18" i="46"/>
  <c r="N41" i="46" s="1"/>
  <c r="N65" i="46" s="1"/>
  <c r="M18" i="46"/>
  <c r="M41" i="46" s="1"/>
  <c r="M65" i="46" s="1"/>
  <c r="O18" i="46"/>
  <c r="O41" i="46" s="1"/>
  <c r="O65" i="46" s="1"/>
  <c r="P18" i="46"/>
  <c r="Q18" i="46"/>
  <c r="Q41" i="46" s="1"/>
  <c r="Q65" i="46" s="1"/>
  <c r="J18" i="46"/>
  <c r="J41" i="46" s="1"/>
  <c r="J65" i="46" s="1"/>
  <c r="K18" i="46"/>
  <c r="K41" i="46" s="1"/>
  <c r="K65" i="46" s="1"/>
  <c r="L18" i="46"/>
  <c r="L41" i="46" s="1"/>
  <c r="L65" i="46" s="1"/>
  <c r="J19" i="46"/>
  <c r="J42" i="46" s="1"/>
  <c r="J66" i="46" s="1"/>
  <c r="K19" i="46"/>
  <c r="K42" i="46" s="1"/>
  <c r="K66" i="46" s="1"/>
  <c r="P19" i="46"/>
  <c r="L19" i="46"/>
  <c r="L42" i="46" s="1"/>
  <c r="L66" i="46" s="1"/>
  <c r="Q19" i="46"/>
  <c r="M19" i="46"/>
  <c r="M42" i="46" s="1"/>
  <c r="M66" i="46" s="1"/>
  <c r="N19" i="46"/>
  <c r="N42" i="46" s="1"/>
  <c r="N66" i="46" s="1"/>
  <c r="O19" i="46"/>
  <c r="O42" i="46" s="1"/>
  <c r="O66" i="46" s="1"/>
  <c r="J20" i="46"/>
  <c r="J43" i="46" s="1"/>
  <c r="J67" i="46" s="1"/>
  <c r="Q20" i="46"/>
  <c r="K20" i="46"/>
  <c r="O20" i="46"/>
  <c r="O43" i="46" s="1"/>
  <c r="O67" i="46" s="1"/>
  <c r="L20" i="46"/>
  <c r="N20" i="46"/>
  <c r="N43" i="46" s="1"/>
  <c r="N67" i="46" s="1"/>
  <c r="P20" i="46"/>
  <c r="P43" i="46" s="1"/>
  <c r="P67" i="46" s="1"/>
  <c r="M20" i="46"/>
  <c r="M43" i="46" s="1"/>
  <c r="M67" i="46" s="1"/>
  <c r="I20" i="46"/>
  <c r="I43" i="46" s="1"/>
  <c r="I67" i="46" s="1"/>
  <c r="N23" i="46"/>
  <c r="K23" i="46"/>
  <c r="O23" i="46"/>
  <c r="M23" i="46"/>
  <c r="M46" i="46" s="1"/>
  <c r="M70" i="46" s="1"/>
  <c r="P23" i="46"/>
  <c r="P46" i="46" s="1"/>
  <c r="P70" i="46" s="1"/>
  <c r="J23" i="46"/>
  <c r="J46" i="46" s="1"/>
  <c r="J70" i="46" s="1"/>
  <c r="L23" i="46"/>
  <c r="L46" i="46" s="1"/>
  <c r="L70" i="46" s="1"/>
  <c r="I23" i="46"/>
  <c r="Q23" i="46"/>
  <c r="C16" i="21"/>
  <c r="E15" i="21"/>
  <c r="E12" i="21"/>
  <c r="E10" i="21"/>
  <c r="A14" i="13"/>
  <c r="A4" i="13"/>
  <c r="A17" i="13"/>
  <c r="A18" i="13" s="1"/>
  <c r="C16" i="13"/>
  <c r="Q40" i="12" l="1"/>
  <c r="R40" i="12" s="1"/>
  <c r="Q42" i="12"/>
  <c r="R42" i="12" s="1"/>
  <c r="Q43" i="12"/>
  <c r="B22" i="62"/>
  <c r="C22" i="62"/>
  <c r="A21" i="62"/>
  <c r="G21" i="62" s="1"/>
  <c r="B318" i="62"/>
  <c r="C318" i="62"/>
  <c r="G317" i="62"/>
  <c r="B57" i="62"/>
  <c r="C57" i="62"/>
  <c r="A56" i="62"/>
  <c r="G56" i="62" s="1"/>
  <c r="C17" i="13"/>
  <c r="I43" i="12"/>
  <c r="R43" i="12"/>
  <c r="E99" i="46"/>
  <c r="F99" i="46"/>
  <c r="D99" i="46"/>
  <c r="H40" i="46"/>
  <c r="H64" i="46" s="1"/>
  <c r="W75" i="46" s="1"/>
  <c r="J99" i="46"/>
  <c r="M99" i="46"/>
  <c r="L99" i="46"/>
  <c r="H99" i="46"/>
  <c r="N99" i="46"/>
  <c r="K99" i="46"/>
  <c r="I99" i="46"/>
  <c r="P99" i="46"/>
  <c r="O99" i="46"/>
  <c r="C11" i="50"/>
  <c r="D11" i="50" s="1"/>
  <c r="A12" i="50"/>
  <c r="Y18" i="46"/>
  <c r="Y41" i="46" s="1"/>
  <c r="Z18" i="46"/>
  <c r="Z41" i="46" s="1"/>
  <c r="AB19" i="46"/>
  <c r="AB42" i="46" s="1"/>
  <c r="AB23" i="46"/>
  <c r="AB46" i="46" s="1"/>
  <c r="AF21" i="46"/>
  <c r="AF44" i="46" s="1"/>
  <c r="AE20" i="46"/>
  <c r="AE43" i="46" s="1"/>
  <c r="AA22" i="46"/>
  <c r="AA45" i="46" s="1"/>
  <c r="AE23" i="46"/>
  <c r="AE46" i="46" s="1"/>
  <c r="AB21" i="46"/>
  <c r="AB44" i="46" s="1"/>
  <c r="AC18" i="46"/>
  <c r="AC41" i="46" s="1"/>
  <c r="AB20" i="46"/>
  <c r="AB43" i="46" s="1"/>
  <c r="AF18" i="46"/>
  <c r="AF41" i="46" s="1"/>
  <c r="AA18" i="46"/>
  <c r="AA41" i="46" s="1"/>
  <c r="X21" i="46"/>
  <c r="X44" i="46" s="1"/>
  <c r="AC20" i="46"/>
  <c r="AC43" i="46" s="1"/>
  <c r="AE22" i="46"/>
  <c r="AE45" i="46" s="1"/>
  <c r="Y21" i="46"/>
  <c r="Y44" i="46" s="1"/>
  <c r="Y19" i="46"/>
  <c r="Y42" i="46" s="1"/>
  <c r="AD18" i="46"/>
  <c r="AD41" i="46" s="1"/>
  <c r="Z22" i="46"/>
  <c r="Z45" i="46" s="1"/>
  <c r="AC19" i="46"/>
  <c r="AC42" i="46" s="1"/>
  <c r="AF22" i="46"/>
  <c r="AF45" i="46" s="1"/>
  <c r="AB18" i="46"/>
  <c r="AB41" i="46" s="1"/>
  <c r="AD20" i="46"/>
  <c r="AD43" i="46" s="1"/>
  <c r="AA19" i="46"/>
  <c r="AA42" i="46" s="1"/>
  <c r="AF20" i="46"/>
  <c r="AF43" i="46" s="1"/>
  <c r="Q43" i="46"/>
  <c r="Q67" i="46" s="1"/>
  <c r="Z19" i="46"/>
  <c r="Z42" i="46" s="1"/>
  <c r="X23" i="46"/>
  <c r="X46" i="46" s="1"/>
  <c r="I46" i="46"/>
  <c r="I70" i="46" s="1"/>
  <c r="AC23" i="46"/>
  <c r="AC46" i="46" s="1"/>
  <c r="N46" i="46"/>
  <c r="N70" i="46" s="1"/>
  <c r="Z21" i="46"/>
  <c r="Z44" i="46" s="1"/>
  <c r="K44" i="46"/>
  <c r="K68" i="46" s="1"/>
  <c r="X20" i="46"/>
  <c r="X43" i="46" s="1"/>
  <c r="X19" i="46"/>
  <c r="X42" i="46" s="1"/>
  <c r="Y23" i="46"/>
  <c r="Y46" i="46" s="1"/>
  <c r="Y22" i="46"/>
  <c r="Y45" i="46" s="1"/>
  <c r="AA23" i="46"/>
  <c r="AA46" i="46" s="1"/>
  <c r="X18" i="46"/>
  <c r="X41" i="46" s="1"/>
  <c r="X22" i="46"/>
  <c r="X45" i="46" s="1"/>
  <c r="U16" i="46"/>
  <c r="U39" i="46" s="1"/>
  <c r="U63" i="46" s="1"/>
  <c r="F39" i="46"/>
  <c r="F63" i="46" s="1"/>
  <c r="U74" i="46" s="1"/>
  <c r="AA20" i="46"/>
  <c r="AA43" i="46" s="1"/>
  <c r="L43" i="46"/>
  <c r="L67" i="46" s="1"/>
  <c r="AF19" i="46"/>
  <c r="AF42" i="46" s="1"/>
  <c r="Q42" i="46"/>
  <c r="Q66" i="46" s="1"/>
  <c r="AD21" i="46"/>
  <c r="AD44" i="46" s="1"/>
  <c r="O44" i="46"/>
  <c r="O68" i="46" s="1"/>
  <c r="AE21" i="46"/>
  <c r="AE44" i="46" s="1"/>
  <c r="P44" i="46"/>
  <c r="P68" i="46" s="1"/>
  <c r="AD19" i="46"/>
  <c r="AD42" i="46" s="1"/>
  <c r="Y20" i="46"/>
  <c r="Y43" i="46" s="1"/>
  <c r="T16" i="46"/>
  <c r="T39" i="46" s="1"/>
  <c r="T63" i="46" s="1"/>
  <c r="E39" i="46"/>
  <c r="E63" i="46" s="1"/>
  <c r="T74" i="46" s="1"/>
  <c r="AD23" i="46"/>
  <c r="AD46" i="46" s="1"/>
  <c r="O46" i="46"/>
  <c r="O70" i="46" s="1"/>
  <c r="AA21" i="46"/>
  <c r="AA44" i="46" s="1"/>
  <c r="L44" i="46"/>
  <c r="L68" i="46" s="1"/>
  <c r="AC22" i="46"/>
  <c r="AC45" i="46" s="1"/>
  <c r="N45" i="46"/>
  <c r="N69" i="46" s="1"/>
  <c r="AD22" i="46"/>
  <c r="AD45" i="46" s="1"/>
  <c r="O45" i="46"/>
  <c r="O69" i="46" s="1"/>
  <c r="AF23" i="46"/>
  <c r="AF46" i="46" s="1"/>
  <c r="Q46" i="46"/>
  <c r="Q70" i="46" s="1"/>
  <c r="V16" i="46"/>
  <c r="V39" i="46" s="1"/>
  <c r="V63" i="46" s="1"/>
  <c r="G39" i="46"/>
  <c r="G63" i="46" s="1"/>
  <c r="V74" i="46" s="1"/>
  <c r="Z23" i="46"/>
  <c r="Z46" i="46" s="1"/>
  <c r="K46" i="46"/>
  <c r="K70" i="46" s="1"/>
  <c r="Z20" i="46"/>
  <c r="Z43" i="46" s="1"/>
  <c r="K43" i="46"/>
  <c r="K67" i="46" s="1"/>
  <c r="AE19" i="46"/>
  <c r="AE42" i="46" s="1"/>
  <c r="P42" i="46"/>
  <c r="P66" i="46" s="1"/>
  <c r="AE18" i="46"/>
  <c r="AE41" i="46" s="1"/>
  <c r="P41" i="46"/>
  <c r="P65" i="46" s="1"/>
  <c r="AC21" i="46"/>
  <c r="AC44" i="46" s="1"/>
  <c r="N44" i="46"/>
  <c r="N68" i="46" s="1"/>
  <c r="AB22" i="46"/>
  <c r="AB45" i="46" s="1"/>
  <c r="M45" i="46"/>
  <c r="M69" i="46" s="1"/>
  <c r="E14" i="21"/>
  <c r="E16" i="21"/>
  <c r="A19" i="13"/>
  <c r="C18" i="13"/>
  <c r="J17" i="26"/>
  <c r="J18" i="26"/>
  <c r="J19" i="26"/>
  <c r="J20" i="26"/>
  <c r="J21" i="26"/>
  <c r="J22" i="26"/>
  <c r="J16" i="26"/>
  <c r="J15" i="26"/>
  <c r="J14" i="26"/>
  <c r="H14" i="26"/>
  <c r="D15" i="26"/>
  <c r="D16" i="26"/>
  <c r="D17" i="26"/>
  <c r="D18" i="26"/>
  <c r="D19" i="26"/>
  <c r="D20" i="26"/>
  <c r="D21" i="26"/>
  <c r="D22" i="26"/>
  <c r="D14" i="26"/>
  <c r="F15" i="26"/>
  <c r="H15" i="26" s="1"/>
  <c r="F16" i="26"/>
  <c r="H16" i="26" s="1"/>
  <c r="F17" i="26"/>
  <c r="H17" i="26" s="1"/>
  <c r="F18" i="26"/>
  <c r="H18" i="26" s="1"/>
  <c r="F19" i="26"/>
  <c r="H19" i="26" s="1"/>
  <c r="F20" i="26"/>
  <c r="H20" i="26" s="1"/>
  <c r="F21" i="26"/>
  <c r="H21" i="26" s="1"/>
  <c r="F22" i="26"/>
  <c r="H22" i="26" s="1"/>
  <c r="F14" i="26"/>
  <c r="B7" i="26"/>
  <c r="B56" i="62" l="1"/>
  <c r="C56" i="62"/>
  <c r="A55" i="62"/>
  <c r="G55" i="62" s="1"/>
  <c r="B317" i="62"/>
  <c r="C317" i="62"/>
  <c r="G316" i="62"/>
  <c r="C21" i="62"/>
  <c r="B21" i="62"/>
  <c r="E31" i="62"/>
  <c r="E30" i="62" s="1"/>
  <c r="H30" i="62" s="1"/>
  <c r="C12" i="50"/>
  <c r="D12" i="50" s="1"/>
  <c r="A13" i="50"/>
  <c r="A20" i="13"/>
  <c r="A21" i="13" s="1"/>
  <c r="C19" i="13"/>
  <c r="D30" i="62" l="1"/>
  <c r="I30" i="62" s="1"/>
  <c r="L30" i="62" s="1"/>
  <c r="M30" i="62" s="1"/>
  <c r="E29" i="62"/>
  <c r="H29" i="62" s="1"/>
  <c r="B316" i="62"/>
  <c r="C316" i="62"/>
  <c r="G315" i="62"/>
  <c r="B55" i="62"/>
  <c r="C55" i="62"/>
  <c r="A54" i="62"/>
  <c r="G54" i="62" s="1"/>
  <c r="C21" i="13"/>
  <c r="A22" i="13"/>
  <c r="C22" i="13" s="1"/>
  <c r="C13" i="50"/>
  <c r="D13" i="50" s="1"/>
  <c r="A14" i="50"/>
  <c r="D14" i="50" s="1"/>
  <c r="B9" i="21"/>
  <c r="B11" i="21" s="1"/>
  <c r="J30" i="62" l="1"/>
  <c r="C315" i="62"/>
  <c r="B315" i="62"/>
  <c r="G314" i="62"/>
  <c r="E28" i="62"/>
  <c r="H28" i="62" s="1"/>
  <c r="D29" i="62"/>
  <c r="I29" i="62" s="1"/>
  <c r="L29" i="62" s="1"/>
  <c r="M29" i="62" s="1"/>
  <c r="B54" i="62"/>
  <c r="C54" i="62"/>
  <c r="A53" i="62"/>
  <c r="G53" i="62" s="1"/>
  <c r="C14" i="50"/>
  <c r="A15" i="50"/>
  <c r="D15" i="50" s="1"/>
  <c r="B13" i="21"/>
  <c r="J29" i="62" l="1"/>
  <c r="C53" i="62"/>
  <c r="B53" i="62"/>
  <c r="A52" i="62"/>
  <c r="G52" i="62" s="1"/>
  <c r="E27" i="62"/>
  <c r="H27" i="62" s="1"/>
  <c r="D28" i="62"/>
  <c r="I28" i="62" s="1"/>
  <c r="L28" i="62" s="1"/>
  <c r="M28" i="62" s="1"/>
  <c r="B314" i="62"/>
  <c r="C314" i="62"/>
  <c r="G313" i="62"/>
  <c r="C15" i="50"/>
  <c r="A16" i="50"/>
  <c r="D16" i="50" s="1"/>
  <c r="B15" i="21"/>
  <c r="C20" i="21"/>
  <c r="A11" i="21"/>
  <c r="J28" i="62" l="1"/>
  <c r="B313" i="62"/>
  <c r="C313" i="62"/>
  <c r="G312" i="62"/>
  <c r="C52" i="62"/>
  <c r="B52" i="62"/>
  <c r="A51" i="62"/>
  <c r="G51" i="62" s="1"/>
  <c r="D27" i="62"/>
  <c r="I27" i="62" s="1"/>
  <c r="L27" i="62" s="1"/>
  <c r="M27" i="62" s="1"/>
  <c r="E26" i="62"/>
  <c r="H26" i="62" s="1"/>
  <c r="C16" i="50"/>
  <c r="A17" i="50"/>
  <c r="D17" i="50" s="1"/>
  <c r="A13" i="21"/>
  <c r="J27" i="62" l="1"/>
  <c r="D26" i="62"/>
  <c r="I26" i="62" s="1"/>
  <c r="L26" i="62" s="1"/>
  <c r="M26" i="62" s="1"/>
  <c r="E25" i="62"/>
  <c r="H25" i="62" s="1"/>
  <c r="B51" i="62"/>
  <c r="C51" i="62"/>
  <c r="A50" i="62"/>
  <c r="G50" i="62" s="1"/>
  <c r="B312" i="62"/>
  <c r="C312" i="62"/>
  <c r="G311" i="62"/>
  <c r="C17" i="50"/>
  <c r="A18" i="50"/>
  <c r="D18" i="50" s="1"/>
  <c r="A15" i="21"/>
  <c r="J26" i="62" l="1"/>
  <c r="B50" i="62"/>
  <c r="C50" i="62"/>
  <c r="A49" i="62"/>
  <c r="G49" i="62" s="1"/>
  <c r="B311" i="62"/>
  <c r="C311" i="62"/>
  <c r="G310" i="62"/>
  <c r="E24" i="62"/>
  <c r="H24" i="62" s="1"/>
  <c r="D25" i="62"/>
  <c r="I25" i="62" s="1"/>
  <c r="L25" i="62" s="1"/>
  <c r="M25" i="62" s="1"/>
  <c r="C18" i="50"/>
  <c r="A19" i="50"/>
  <c r="D19" i="50" s="1"/>
  <c r="A17" i="21"/>
  <c r="J25" i="62" l="1"/>
  <c r="E23" i="62"/>
  <c r="H23" i="62" s="1"/>
  <c r="D24" i="62"/>
  <c r="I24" i="62" s="1"/>
  <c r="L24" i="62" s="1"/>
  <c r="M24" i="62" s="1"/>
  <c r="B310" i="62"/>
  <c r="C310" i="62"/>
  <c r="G309" i="62"/>
  <c r="B49" i="62"/>
  <c r="C49" i="62"/>
  <c r="A48" i="62"/>
  <c r="G48" i="62" s="1"/>
  <c r="C19" i="50"/>
  <c r="A20" i="50"/>
  <c r="D20" i="50" s="1"/>
  <c r="B6" i="13"/>
  <c r="C6" i="13" s="1"/>
  <c r="B7" i="13"/>
  <c r="A7" i="13"/>
  <c r="B8" i="13"/>
  <c r="B9" i="13"/>
  <c r="J24" i="62" l="1"/>
  <c r="C309" i="62"/>
  <c r="B309" i="62"/>
  <c r="G308" i="62"/>
  <c r="B48" i="62"/>
  <c r="C48" i="62"/>
  <c r="A47" i="62"/>
  <c r="G47" i="62" s="1"/>
  <c r="E22" i="62"/>
  <c r="H22" i="62" s="1"/>
  <c r="D23" i="62"/>
  <c r="I23" i="62" s="1"/>
  <c r="L23" i="62" s="1"/>
  <c r="M23" i="62" s="1"/>
  <c r="C20" i="50"/>
  <c r="A21" i="50"/>
  <c r="D21" i="50" s="1"/>
  <c r="C7" i="13"/>
  <c r="A8" i="13"/>
  <c r="J23" i="62" l="1"/>
  <c r="B47" i="62"/>
  <c r="C47" i="62"/>
  <c r="A46" i="62"/>
  <c r="G46" i="62" s="1"/>
  <c r="D22" i="62"/>
  <c r="I22" i="62" s="1"/>
  <c r="L22" i="62" s="1"/>
  <c r="M22" i="62" s="1"/>
  <c r="E21" i="62"/>
  <c r="H21" i="62" s="1"/>
  <c r="C308" i="62"/>
  <c r="B308" i="62"/>
  <c r="G307" i="62"/>
  <c r="C21" i="50"/>
  <c r="A22" i="50"/>
  <c r="D22" i="50" s="1"/>
  <c r="C8" i="13"/>
  <c r="A9" i="13"/>
  <c r="D14" i="12"/>
  <c r="D15" i="12" s="1"/>
  <c r="D16" i="12" s="1"/>
  <c r="J22" i="62" l="1"/>
  <c r="B46" i="62"/>
  <c r="C46" i="62"/>
  <c r="A45" i="62"/>
  <c r="G45" i="62" s="1"/>
  <c r="C307" i="62"/>
  <c r="B307" i="62"/>
  <c r="G306" i="62"/>
  <c r="D21" i="62"/>
  <c r="I21" i="62" s="1"/>
  <c r="L21" i="62" s="1"/>
  <c r="C9" i="13"/>
  <c r="C22" i="50"/>
  <c r="A23" i="50"/>
  <c r="D23" i="50" s="1"/>
  <c r="A10" i="13"/>
  <c r="D18" i="12"/>
  <c r="D19" i="12" s="1"/>
  <c r="D17" i="12"/>
  <c r="C7" i="12"/>
  <c r="L7" i="12" s="1"/>
  <c r="C8" i="12"/>
  <c r="I8" i="12" s="1"/>
  <c r="M12" i="12"/>
  <c r="N12" i="12"/>
  <c r="O12" i="12"/>
  <c r="L12" i="12"/>
  <c r="J6" i="12"/>
  <c r="F6" i="12" s="1"/>
  <c r="K6" i="12"/>
  <c r="G6" i="12" s="1"/>
  <c r="L6" i="12"/>
  <c r="H6" i="12" s="1"/>
  <c r="I6" i="12"/>
  <c r="E6" i="12" s="1"/>
  <c r="E13" i="12"/>
  <c r="M21" i="62" l="1"/>
  <c r="L31" i="62"/>
  <c r="M31" i="62"/>
  <c r="J21" i="62"/>
  <c r="J31" i="62" s="1"/>
  <c r="I31" i="62"/>
  <c r="B45" i="62"/>
  <c r="C45" i="62"/>
  <c r="A44" i="62"/>
  <c r="G44" i="62" s="1"/>
  <c r="C306" i="62"/>
  <c r="B306" i="62"/>
  <c r="G305" i="62"/>
  <c r="D31" i="62"/>
  <c r="C10" i="13"/>
  <c r="A11" i="13"/>
  <c r="O13" i="12"/>
  <c r="P13" i="12"/>
  <c r="U13" i="12"/>
  <c r="C23" i="50"/>
  <c r="A24" i="50"/>
  <c r="D24" i="50" s="1"/>
  <c r="F15" i="12"/>
  <c r="F14" i="12"/>
  <c r="N8" i="12"/>
  <c r="M8" i="12"/>
  <c r="R13" i="12"/>
  <c r="T13" i="12"/>
  <c r="Q13" i="12"/>
  <c r="P8" i="12"/>
  <c r="J7" i="12"/>
  <c r="M7" i="12"/>
  <c r="O7" i="12"/>
  <c r="I7" i="12"/>
  <c r="N7" i="12"/>
  <c r="P7" i="12"/>
  <c r="O8" i="12"/>
  <c r="K8" i="12"/>
  <c r="K7" i="12"/>
  <c r="J8" i="12"/>
  <c r="L8" i="12"/>
  <c r="E14" i="12"/>
  <c r="U14" i="12" s="1"/>
  <c r="C305" i="62" l="1"/>
  <c r="B305" i="62"/>
  <c r="G304" i="62"/>
  <c r="B44" i="62"/>
  <c r="C44" i="62"/>
  <c r="A43" i="62"/>
  <c r="G43" i="62" s="1"/>
  <c r="C11" i="13"/>
  <c r="A12" i="13"/>
  <c r="C12" i="13" s="1"/>
  <c r="P14" i="12"/>
  <c r="C24" i="50"/>
  <c r="A25" i="50"/>
  <c r="D25" i="50" s="1"/>
  <c r="E15" i="12"/>
  <c r="P15" i="12" s="1"/>
  <c r="E16" i="12"/>
  <c r="U16" i="12" s="1"/>
  <c r="F16" i="12"/>
  <c r="N13" i="12"/>
  <c r="L13" i="12"/>
  <c r="M13" i="12"/>
  <c r="Q14" i="12"/>
  <c r="R14" i="12"/>
  <c r="S14" i="12"/>
  <c r="T14" i="12"/>
  <c r="E17" i="12"/>
  <c r="B43" i="62" l="1"/>
  <c r="C43" i="62"/>
  <c r="A42" i="62"/>
  <c r="G42" i="62" s="1"/>
  <c r="C304" i="62"/>
  <c r="B304" i="62"/>
  <c r="G303" i="62"/>
  <c r="P16" i="12"/>
  <c r="P18" i="12" s="1"/>
  <c r="P19" i="12" s="1"/>
  <c r="Q15" i="12"/>
  <c r="U15" i="12"/>
  <c r="C25" i="50"/>
  <c r="A26" i="50"/>
  <c r="D26" i="50" s="1"/>
  <c r="T15" i="12"/>
  <c r="S15" i="12"/>
  <c r="R15" i="12"/>
  <c r="F17" i="12"/>
  <c r="Q16" i="12"/>
  <c r="R16" i="12"/>
  <c r="S16" i="12"/>
  <c r="T16" i="12"/>
  <c r="L14" i="12"/>
  <c r="O14" i="12"/>
  <c r="M14" i="12"/>
  <c r="N14" i="12"/>
  <c r="L15" i="12"/>
  <c r="M15" i="12"/>
  <c r="N15" i="12"/>
  <c r="O15" i="12"/>
  <c r="B303" i="62" l="1"/>
  <c r="C303" i="62"/>
  <c r="G302" i="62"/>
  <c r="B42" i="62"/>
  <c r="C42" i="62"/>
  <c r="A41" i="62"/>
  <c r="G41" i="62" s="1"/>
  <c r="C26" i="50"/>
  <c r="A27" i="50"/>
  <c r="D27" i="50" s="1"/>
  <c r="E19" i="12"/>
  <c r="F19" i="12"/>
  <c r="F18" i="12"/>
  <c r="E18" i="12"/>
  <c r="U18" i="12" s="1"/>
  <c r="L16" i="12"/>
  <c r="O16" i="12"/>
  <c r="M16" i="12"/>
  <c r="N16" i="12"/>
  <c r="C41" i="62" l="1"/>
  <c r="B41" i="62"/>
  <c r="A40" i="62"/>
  <c r="G40" i="62" s="1"/>
  <c r="B302" i="62"/>
  <c r="C302" i="62"/>
  <c r="G301" i="62"/>
  <c r="T19" i="12"/>
  <c r="U19" i="12"/>
  <c r="C27" i="50"/>
  <c r="A28" i="50"/>
  <c r="Q19" i="12"/>
  <c r="S19" i="12"/>
  <c r="R19" i="12"/>
  <c r="O18" i="12"/>
  <c r="T18" i="12"/>
  <c r="R18" i="12"/>
  <c r="S18" i="12"/>
  <c r="Q18" i="12"/>
  <c r="M18" i="12"/>
  <c r="N18" i="12"/>
  <c r="L18" i="12"/>
  <c r="M19" i="12"/>
  <c r="O19" i="12"/>
  <c r="N19" i="12"/>
  <c r="L19" i="12"/>
  <c r="B301" i="62" l="1"/>
  <c r="C301" i="62"/>
  <c r="G300" i="62"/>
  <c r="C40" i="62"/>
  <c r="B40" i="62"/>
  <c r="A39" i="62"/>
  <c r="G39" i="62" s="1"/>
  <c r="C28" i="50"/>
  <c r="D28" i="50"/>
  <c r="C39" i="62" l="1"/>
  <c r="B39" i="62"/>
  <c r="A38" i="62"/>
  <c r="G38" i="62" s="1"/>
  <c r="B300" i="62"/>
  <c r="C300" i="62"/>
  <c r="G299" i="62"/>
  <c r="B299" i="62" l="1"/>
  <c r="C299" i="62"/>
  <c r="G298" i="62"/>
  <c r="C38" i="62"/>
  <c r="B38" i="62"/>
  <c r="A37" i="62"/>
  <c r="G37" i="62" s="1"/>
  <c r="C37" i="62" l="1"/>
  <c r="B37" i="62"/>
  <c r="A36" i="62"/>
  <c r="G36" i="62" s="1"/>
  <c r="B298" i="62"/>
  <c r="C298" i="62"/>
  <c r="G297" i="62"/>
  <c r="C297" i="62" l="1"/>
  <c r="B297" i="62"/>
  <c r="G296" i="62"/>
  <c r="B36" i="62"/>
  <c r="C36" i="62"/>
  <c r="A35" i="62"/>
  <c r="G35" i="62" s="1"/>
  <c r="B35" i="62" l="1"/>
  <c r="C35" i="62"/>
  <c r="A34" i="62"/>
  <c r="G34" i="62" s="1"/>
  <c r="B296" i="62"/>
  <c r="C296" i="62"/>
  <c r="G295" i="62"/>
  <c r="B295" i="62" l="1"/>
  <c r="C295" i="62"/>
  <c r="G294" i="62"/>
  <c r="E66" i="62"/>
  <c r="E65" i="62" s="1"/>
  <c r="H65" i="62" s="1"/>
  <c r="B34" i="62"/>
  <c r="C34" i="62"/>
  <c r="E64" i="62" l="1"/>
  <c r="H64" i="62" s="1"/>
  <c r="D65" i="62"/>
  <c r="I65" i="62" s="1"/>
  <c r="L65" i="62" s="1"/>
  <c r="M65" i="62" s="1"/>
  <c r="B294" i="62"/>
  <c r="C294" i="62"/>
  <c r="G293" i="62"/>
  <c r="J65" i="62" l="1"/>
  <c r="C293" i="62"/>
  <c r="B293" i="62"/>
  <c r="G292" i="62"/>
  <c r="D64" i="62"/>
  <c r="I64" i="62" s="1"/>
  <c r="L64" i="62" s="1"/>
  <c r="M64" i="62" s="1"/>
  <c r="E63" i="62"/>
  <c r="H63" i="62" s="1"/>
  <c r="J64" i="62" l="1"/>
  <c r="E62" i="62"/>
  <c r="H62" i="62" s="1"/>
  <c r="D63" i="62"/>
  <c r="I63" i="62" s="1"/>
  <c r="L63" i="62" s="1"/>
  <c r="M63" i="62" s="1"/>
  <c r="C292" i="62"/>
  <c r="B292" i="62"/>
  <c r="G291" i="62"/>
  <c r="J63" i="62" l="1"/>
  <c r="C291" i="62"/>
  <c r="B291" i="62"/>
  <c r="G290" i="62"/>
  <c r="E61" i="62"/>
  <c r="H61" i="62" s="1"/>
  <c r="D62" i="62"/>
  <c r="I62" i="62" s="1"/>
  <c r="L62" i="62" s="1"/>
  <c r="M62" i="62" s="1"/>
  <c r="J62" i="62" l="1"/>
  <c r="E60" i="62"/>
  <c r="H60" i="62" s="1"/>
  <c r="D61" i="62"/>
  <c r="I61" i="62" s="1"/>
  <c r="L61" i="62" s="1"/>
  <c r="M61" i="62" s="1"/>
  <c r="B290" i="62"/>
  <c r="C290" i="62"/>
  <c r="G289" i="62"/>
  <c r="J61" i="62" l="1"/>
  <c r="D60" i="62"/>
  <c r="I60" i="62" s="1"/>
  <c r="L60" i="62" s="1"/>
  <c r="M60" i="62" s="1"/>
  <c r="E59" i="62"/>
  <c r="H59" i="62" s="1"/>
  <c r="B289" i="62"/>
  <c r="C289" i="62"/>
  <c r="G288" i="62"/>
  <c r="J60" i="62" l="1"/>
  <c r="B288" i="62"/>
  <c r="C288" i="62"/>
  <c r="G287" i="62"/>
  <c r="E58" i="62"/>
  <c r="H58" i="62" s="1"/>
  <c r="D59" i="62"/>
  <c r="I59" i="62" s="1"/>
  <c r="L59" i="62" s="1"/>
  <c r="M59" i="62" s="1"/>
  <c r="J59" i="62" l="1"/>
  <c r="D58" i="62"/>
  <c r="I58" i="62" s="1"/>
  <c r="L58" i="62" s="1"/>
  <c r="M58" i="62" s="1"/>
  <c r="E57" i="62"/>
  <c r="H57" i="62" s="1"/>
  <c r="B287" i="62"/>
  <c r="C287" i="62"/>
  <c r="G286" i="62"/>
  <c r="J58" i="62" l="1"/>
  <c r="B286" i="62"/>
  <c r="C286" i="62"/>
  <c r="G285" i="62"/>
  <c r="D57" i="62"/>
  <c r="I57" i="62" s="1"/>
  <c r="L57" i="62" s="1"/>
  <c r="M57" i="62" s="1"/>
  <c r="E56" i="62"/>
  <c r="H56" i="62" s="1"/>
  <c r="J57" i="62" l="1"/>
  <c r="E55" i="62"/>
  <c r="H55" i="62" s="1"/>
  <c r="D56" i="62"/>
  <c r="I56" i="62" s="1"/>
  <c r="L56" i="62" s="1"/>
  <c r="M56" i="62" s="1"/>
  <c r="C285" i="62"/>
  <c r="B285" i="62"/>
  <c r="G284" i="62"/>
  <c r="J56" i="62" l="1"/>
  <c r="B284" i="62"/>
  <c r="C284" i="62"/>
  <c r="G283" i="62"/>
  <c r="D55" i="62"/>
  <c r="I55" i="62" s="1"/>
  <c r="L55" i="62" s="1"/>
  <c r="M55" i="62" s="1"/>
  <c r="E54" i="62"/>
  <c r="H54" i="62" s="1"/>
  <c r="J55" i="62" l="1"/>
  <c r="E53" i="62"/>
  <c r="H53" i="62" s="1"/>
  <c r="D54" i="62"/>
  <c r="I54" i="62" s="1"/>
  <c r="L54" i="62" s="1"/>
  <c r="M54" i="62" s="1"/>
  <c r="B283" i="62"/>
  <c r="C283" i="62"/>
  <c r="G282" i="62"/>
  <c r="J54" i="62" l="1"/>
  <c r="B282" i="62"/>
  <c r="C282" i="62"/>
  <c r="G281" i="62"/>
  <c r="E52" i="62"/>
  <c r="H52" i="62" s="1"/>
  <c r="D53" i="62"/>
  <c r="I53" i="62" s="1"/>
  <c r="L53" i="62" s="1"/>
  <c r="M53" i="62" s="1"/>
  <c r="J53" i="62" l="1"/>
  <c r="E51" i="62"/>
  <c r="H51" i="62" s="1"/>
  <c r="D52" i="62"/>
  <c r="I52" i="62" s="1"/>
  <c r="L52" i="62" s="1"/>
  <c r="M52" i="62" s="1"/>
  <c r="B281" i="62"/>
  <c r="C281" i="62"/>
  <c r="G280" i="62"/>
  <c r="J52" i="62" l="1"/>
  <c r="B280" i="62"/>
  <c r="C280" i="62"/>
  <c r="G279" i="62"/>
  <c r="D51" i="62"/>
  <c r="I51" i="62" s="1"/>
  <c r="L51" i="62" s="1"/>
  <c r="M51" i="62" s="1"/>
  <c r="E50" i="62"/>
  <c r="H50" i="62" s="1"/>
  <c r="J51" i="62" l="1"/>
  <c r="E49" i="62"/>
  <c r="H49" i="62" s="1"/>
  <c r="D50" i="62"/>
  <c r="I50" i="62" s="1"/>
  <c r="L50" i="62" s="1"/>
  <c r="M50" i="62" s="1"/>
  <c r="B279" i="62"/>
  <c r="C279" i="62"/>
  <c r="G278" i="62"/>
  <c r="J50" i="62" l="1"/>
  <c r="B278" i="62"/>
  <c r="C278" i="62"/>
  <c r="G277" i="62"/>
  <c r="D49" i="62"/>
  <c r="I49" i="62" s="1"/>
  <c r="L49" i="62" s="1"/>
  <c r="M49" i="62" s="1"/>
  <c r="E48" i="62"/>
  <c r="H48" i="62" s="1"/>
  <c r="J49" i="62" l="1"/>
  <c r="E47" i="62"/>
  <c r="H47" i="62" s="1"/>
  <c r="D48" i="62"/>
  <c r="I48" i="62" s="1"/>
  <c r="L48" i="62" s="1"/>
  <c r="M48" i="62" s="1"/>
  <c r="B277" i="62"/>
  <c r="C277" i="62"/>
  <c r="G276" i="62"/>
  <c r="J48" i="62" l="1"/>
  <c r="B276" i="62"/>
  <c r="C276" i="62"/>
  <c r="G275" i="62"/>
  <c r="D47" i="62"/>
  <c r="I47" i="62" s="1"/>
  <c r="L47" i="62" s="1"/>
  <c r="M47" i="62" s="1"/>
  <c r="E46" i="62"/>
  <c r="H46" i="62" s="1"/>
  <c r="J47" i="62" l="1"/>
  <c r="E45" i="62"/>
  <c r="H45" i="62" s="1"/>
  <c r="D46" i="62"/>
  <c r="I46" i="62" s="1"/>
  <c r="L46" i="62" s="1"/>
  <c r="M46" i="62" s="1"/>
  <c r="B275" i="62"/>
  <c r="C275" i="62"/>
  <c r="G274" i="62"/>
  <c r="J46" i="62" l="1"/>
  <c r="B274" i="62"/>
  <c r="C274" i="62"/>
  <c r="G273" i="62"/>
  <c r="D45" i="62"/>
  <c r="I45" i="62" s="1"/>
  <c r="L45" i="62" s="1"/>
  <c r="M45" i="62" s="1"/>
  <c r="E44" i="62"/>
  <c r="H44" i="62" s="1"/>
  <c r="J45" i="62" l="1"/>
  <c r="D44" i="62"/>
  <c r="I44" i="62" s="1"/>
  <c r="L44" i="62" s="1"/>
  <c r="M44" i="62" s="1"/>
  <c r="E43" i="62"/>
  <c r="H43" i="62" s="1"/>
  <c r="C273" i="62"/>
  <c r="B273" i="62"/>
  <c r="G272" i="62"/>
  <c r="J44" i="62" l="1"/>
  <c r="E42" i="62"/>
  <c r="H42" i="62" s="1"/>
  <c r="D43" i="62"/>
  <c r="I43" i="62" s="1"/>
  <c r="L43" i="62" s="1"/>
  <c r="M43" i="62" s="1"/>
  <c r="C272" i="62"/>
  <c r="B272" i="62"/>
  <c r="G271" i="62"/>
  <c r="J43" i="62" l="1"/>
  <c r="C271" i="62"/>
  <c r="B271" i="62"/>
  <c r="G270" i="62"/>
  <c r="E41" i="62"/>
  <c r="H41" i="62" s="1"/>
  <c r="D42" i="62"/>
  <c r="I42" i="62" s="1"/>
  <c r="L42" i="62" s="1"/>
  <c r="M42" i="62" s="1"/>
  <c r="J42" i="62" l="1"/>
  <c r="E40" i="62"/>
  <c r="H40" i="62" s="1"/>
  <c r="D41" i="62"/>
  <c r="I41" i="62" s="1"/>
  <c r="L41" i="62" s="1"/>
  <c r="M41" i="62" s="1"/>
  <c r="C270" i="62"/>
  <c r="B270" i="62"/>
  <c r="G269" i="62"/>
  <c r="J41" i="62" l="1"/>
  <c r="C269" i="62"/>
  <c r="B269" i="62"/>
  <c r="G268" i="62"/>
  <c r="D40" i="62"/>
  <c r="I40" i="62" s="1"/>
  <c r="L40" i="62" s="1"/>
  <c r="M40" i="62" s="1"/>
  <c r="E39" i="62"/>
  <c r="H39" i="62" s="1"/>
  <c r="J40" i="62" l="1"/>
  <c r="E38" i="62"/>
  <c r="H38" i="62" s="1"/>
  <c r="D39" i="62"/>
  <c r="I39" i="62" s="1"/>
  <c r="L39" i="62" s="1"/>
  <c r="M39" i="62" s="1"/>
  <c r="B268" i="62"/>
  <c r="C268" i="62"/>
  <c r="G267" i="62"/>
  <c r="J39" i="62" l="1"/>
  <c r="B267" i="62"/>
  <c r="C267" i="62"/>
  <c r="G266" i="62"/>
  <c r="E37" i="62"/>
  <c r="H37" i="62" s="1"/>
  <c r="D38" i="62"/>
  <c r="I38" i="62" s="1"/>
  <c r="L38" i="62" s="1"/>
  <c r="M38" i="62" s="1"/>
  <c r="J38" i="62" l="1"/>
  <c r="B266" i="62"/>
  <c r="C266" i="62"/>
  <c r="G265" i="62"/>
  <c r="D37" i="62"/>
  <c r="I37" i="62" s="1"/>
  <c r="L37" i="62" s="1"/>
  <c r="M37" i="62" s="1"/>
  <c r="E36" i="62"/>
  <c r="H36" i="62" s="1"/>
  <c r="J37" i="62" l="1"/>
  <c r="E35" i="62"/>
  <c r="H35" i="62" s="1"/>
  <c r="D36" i="62"/>
  <c r="I36" i="62" s="1"/>
  <c r="L36" i="62" s="1"/>
  <c r="M36" i="62" s="1"/>
  <c r="B265" i="62"/>
  <c r="C265" i="62"/>
  <c r="G264" i="62"/>
  <c r="J36" i="62" l="1"/>
  <c r="C264" i="62"/>
  <c r="B264" i="62"/>
  <c r="G263" i="62"/>
  <c r="E34" i="62"/>
  <c r="H34" i="62" s="1"/>
  <c r="D35" i="62"/>
  <c r="I35" i="62" s="1"/>
  <c r="L35" i="62" s="1"/>
  <c r="M35" i="62" s="1"/>
  <c r="J35" i="62" l="1"/>
  <c r="D34" i="62"/>
  <c r="I34" i="62" s="1"/>
  <c r="B263" i="62"/>
  <c r="C263" i="62"/>
  <c r="G262" i="62"/>
  <c r="I66" i="62" l="1"/>
  <c r="L34" i="62"/>
  <c r="J34" i="62"/>
  <c r="J66" i="62" s="1"/>
  <c r="B262" i="62"/>
  <c r="C262" i="62"/>
  <c r="G261" i="62"/>
  <c r="D66" i="62"/>
  <c r="M34" i="62" l="1"/>
  <c r="M66" i="62" s="1"/>
  <c r="L66" i="62"/>
  <c r="C261" i="62"/>
  <c r="B261" i="62"/>
  <c r="G260" i="62"/>
  <c r="B260" i="62" l="1"/>
  <c r="C260" i="62"/>
  <c r="G259" i="62"/>
  <c r="B259" i="62" l="1"/>
  <c r="C259" i="62"/>
  <c r="G258" i="62"/>
  <c r="B258" i="62" l="1"/>
  <c r="C258" i="62"/>
  <c r="G257" i="62"/>
  <c r="C257" i="62" l="1"/>
  <c r="B257" i="62"/>
  <c r="G256" i="62"/>
  <c r="C256" i="62" l="1"/>
  <c r="B256" i="62"/>
  <c r="G255" i="62"/>
  <c r="C255" i="62" l="1"/>
  <c r="B255" i="62"/>
  <c r="G254" i="62"/>
  <c r="B254" i="62" l="1"/>
  <c r="C254" i="62"/>
  <c r="G253" i="62"/>
  <c r="B253" i="62" l="1"/>
  <c r="C253" i="62"/>
  <c r="G252" i="62"/>
  <c r="B252" i="62" l="1"/>
  <c r="C252" i="62"/>
  <c r="G251" i="62"/>
  <c r="B251" i="62" l="1"/>
  <c r="C251" i="62"/>
  <c r="G250" i="62"/>
  <c r="B250" i="62" l="1"/>
  <c r="C250" i="62"/>
  <c r="G249" i="62"/>
  <c r="C249" i="62" l="1"/>
  <c r="B249" i="62"/>
  <c r="G248" i="62"/>
  <c r="B248" i="62" l="1"/>
  <c r="C248" i="62"/>
  <c r="G247" i="62"/>
  <c r="B247" i="62" l="1"/>
  <c r="C247" i="62"/>
  <c r="G246" i="62"/>
  <c r="B246" i="62" l="1"/>
  <c r="C246" i="62"/>
  <c r="G245" i="62"/>
  <c r="B245" i="62" l="1"/>
  <c r="C245" i="62"/>
  <c r="G244" i="62"/>
  <c r="B244" i="62" l="1"/>
  <c r="C244" i="62"/>
  <c r="G243" i="62"/>
  <c r="B243" i="62" l="1"/>
  <c r="C243" i="62"/>
  <c r="G242" i="62"/>
  <c r="B242" i="62" l="1"/>
  <c r="C242" i="62"/>
  <c r="G241" i="62"/>
  <c r="B241" i="62" l="1"/>
  <c r="C241" i="62"/>
  <c r="G240" i="62"/>
  <c r="C240" i="62" l="1"/>
  <c r="B240" i="62"/>
  <c r="G239" i="62"/>
  <c r="B239" i="62" l="1"/>
  <c r="C239" i="62"/>
  <c r="G238" i="62"/>
  <c r="B238" i="62" l="1"/>
  <c r="C238" i="62"/>
  <c r="G237" i="62"/>
  <c r="C237" i="62" l="1"/>
  <c r="B237" i="62"/>
  <c r="G236" i="62"/>
  <c r="B236" i="62" l="1"/>
  <c r="C236" i="62"/>
  <c r="G235" i="62"/>
  <c r="C235" i="62" l="1"/>
  <c r="B235" i="62"/>
  <c r="G234" i="62"/>
  <c r="C234" i="62" l="1"/>
  <c r="B234" i="62"/>
  <c r="G233" i="62"/>
  <c r="C233" i="62" l="1"/>
  <c r="B233" i="62"/>
  <c r="G232" i="62"/>
  <c r="C232" i="62" l="1"/>
  <c r="B232" i="62"/>
  <c r="G231" i="62"/>
  <c r="B231" i="62" l="1"/>
  <c r="C231" i="62"/>
  <c r="G230" i="62"/>
  <c r="B230" i="62" l="1"/>
  <c r="C230" i="62"/>
  <c r="G229" i="62"/>
  <c r="B229" i="62" l="1"/>
  <c r="C229" i="62"/>
  <c r="G228" i="62"/>
  <c r="B228" i="62" l="1"/>
  <c r="C228" i="62"/>
  <c r="G227" i="62"/>
  <c r="B227" i="62" l="1"/>
  <c r="C227" i="62"/>
  <c r="G226" i="62"/>
  <c r="B226" i="62" l="1"/>
  <c r="C226" i="62"/>
  <c r="G225" i="62"/>
  <c r="C225" i="62" l="1"/>
  <c r="B225" i="62"/>
  <c r="G224" i="62"/>
  <c r="B224" i="62" l="1"/>
  <c r="C224" i="62"/>
  <c r="G223" i="62"/>
  <c r="B223" i="62" l="1"/>
  <c r="C223" i="62"/>
  <c r="G222" i="62"/>
  <c r="B222" i="62" l="1"/>
  <c r="C222" i="62"/>
  <c r="G221" i="62"/>
  <c r="B221" i="62" l="1"/>
  <c r="C221" i="62"/>
  <c r="G220" i="62"/>
  <c r="B220" i="62" l="1"/>
  <c r="C220" i="62"/>
  <c r="G219" i="62"/>
  <c r="C219" i="62" l="1"/>
  <c r="B219" i="62"/>
  <c r="G218" i="62"/>
  <c r="B218" i="62" l="1"/>
  <c r="C218" i="62"/>
  <c r="G217" i="62"/>
  <c r="B217" i="62" l="1"/>
  <c r="C217" i="62"/>
  <c r="G216" i="62"/>
  <c r="C216" i="62" l="1"/>
  <c r="B216" i="62"/>
  <c r="G215" i="62"/>
  <c r="B215" i="62" l="1"/>
  <c r="C215" i="62"/>
  <c r="G214" i="62"/>
  <c r="B214" i="62" l="1"/>
  <c r="C214" i="62"/>
  <c r="G213" i="62"/>
  <c r="C213" i="62" l="1"/>
  <c r="B213" i="62"/>
  <c r="G212" i="62"/>
  <c r="B212" i="62" l="1"/>
  <c r="C212" i="62"/>
  <c r="G211" i="62"/>
  <c r="C211" i="62" l="1"/>
  <c r="B211" i="62"/>
  <c r="G210" i="62"/>
  <c r="B210" i="62" l="1"/>
  <c r="C210" i="62"/>
  <c r="G209" i="62"/>
  <c r="B209" i="62" l="1"/>
  <c r="C209" i="62"/>
  <c r="G208" i="62"/>
  <c r="B208" i="62" l="1"/>
  <c r="C208" i="62"/>
  <c r="G207" i="62"/>
  <c r="B207" i="62" l="1"/>
  <c r="C207" i="62"/>
  <c r="G206" i="62"/>
  <c r="B206" i="62" l="1"/>
  <c r="C206" i="62"/>
  <c r="G205" i="62"/>
  <c r="B205" i="62" l="1"/>
  <c r="C205" i="62"/>
  <c r="G204" i="62"/>
  <c r="B204" i="62" l="1"/>
  <c r="C204" i="62"/>
  <c r="G203" i="62"/>
  <c r="B203" i="62" l="1"/>
  <c r="C203" i="62"/>
  <c r="G202" i="62"/>
  <c r="B202" i="62" l="1"/>
  <c r="C202" i="62"/>
  <c r="G201" i="62"/>
  <c r="C201" i="62" l="1"/>
  <c r="B201" i="62"/>
  <c r="G200" i="62"/>
  <c r="B200" i="62" l="1"/>
  <c r="C200" i="62"/>
  <c r="G199" i="62"/>
  <c r="B199" i="62" l="1"/>
  <c r="C199" i="62"/>
  <c r="G198" i="62"/>
  <c r="B198" i="62" l="1"/>
  <c r="C198" i="62"/>
  <c r="G197" i="62"/>
  <c r="C197" i="62" l="1"/>
  <c r="B197" i="62"/>
  <c r="G196" i="62"/>
  <c r="C196" i="62" l="1"/>
  <c r="B196" i="62"/>
  <c r="G195" i="62"/>
  <c r="C195" i="62" l="1"/>
  <c r="B195" i="62"/>
  <c r="G194" i="62"/>
  <c r="B194" i="62" l="1"/>
  <c r="C194" i="62"/>
  <c r="G193" i="62"/>
  <c r="B193" i="62" l="1"/>
  <c r="C193" i="62"/>
  <c r="G192" i="62"/>
  <c r="C192" i="62" l="1"/>
  <c r="B192" i="62"/>
  <c r="G191" i="62"/>
  <c r="B191" i="62" l="1"/>
  <c r="C191" i="62"/>
  <c r="G190" i="62"/>
  <c r="B190" i="62" l="1"/>
  <c r="C190" i="62"/>
  <c r="G189" i="62"/>
  <c r="C189" i="62" l="1"/>
  <c r="B189" i="62"/>
  <c r="G188" i="62"/>
  <c r="B188" i="62" l="1"/>
  <c r="C188" i="62"/>
  <c r="G187" i="62"/>
  <c r="B187" i="62" l="1"/>
  <c r="C187" i="62"/>
  <c r="G186" i="62"/>
  <c r="B186" i="62" l="1"/>
  <c r="C186" i="62"/>
  <c r="G185" i="62"/>
  <c r="B185" i="62" l="1"/>
  <c r="C185" i="62"/>
  <c r="G184" i="62"/>
  <c r="B184" i="62" l="1"/>
  <c r="C184" i="62"/>
  <c r="G183" i="62"/>
  <c r="B183" i="62" l="1"/>
  <c r="C183" i="62"/>
  <c r="G182" i="62"/>
  <c r="B182" i="62" l="1"/>
  <c r="C182" i="62"/>
  <c r="G181" i="62"/>
  <c r="B181" i="62" l="1"/>
  <c r="C181" i="62"/>
  <c r="G180" i="62"/>
  <c r="B180" i="62" l="1"/>
  <c r="C180" i="62"/>
  <c r="G179" i="62"/>
  <c r="B179" i="62" l="1"/>
  <c r="C179" i="62"/>
  <c r="G178" i="62"/>
  <c r="B178" i="62" l="1"/>
  <c r="C178" i="62"/>
  <c r="G177" i="62"/>
  <c r="C177" i="62" l="1"/>
  <c r="B177" i="62"/>
  <c r="G176" i="62"/>
  <c r="B176" i="62" l="1"/>
  <c r="C176" i="62"/>
  <c r="G175" i="62"/>
  <c r="B175" i="62" l="1"/>
  <c r="C175" i="62"/>
  <c r="G174" i="62"/>
  <c r="C174" i="62" l="1"/>
  <c r="B174" i="62"/>
  <c r="G173" i="62"/>
  <c r="B173" i="62" l="1"/>
  <c r="C173" i="62"/>
  <c r="G172" i="62"/>
  <c r="C172" i="62" l="1"/>
  <c r="B172" i="62"/>
  <c r="G171" i="62"/>
  <c r="B171" i="62" l="1"/>
  <c r="C171" i="62"/>
  <c r="G170" i="62"/>
  <c r="B170" i="62" l="1"/>
  <c r="C170" i="62"/>
  <c r="G169" i="62"/>
  <c r="B169" i="62" l="1"/>
  <c r="C169" i="62"/>
  <c r="G168" i="62"/>
  <c r="C168" i="62" l="1"/>
  <c r="B168" i="62"/>
  <c r="G167" i="62"/>
  <c r="B167" i="62" l="1"/>
  <c r="C167" i="62"/>
  <c r="G166" i="62"/>
  <c r="B166" i="62" l="1"/>
  <c r="C166" i="62"/>
  <c r="G165" i="62"/>
  <c r="C165" i="62" l="1"/>
  <c r="B165" i="62"/>
  <c r="G164" i="62"/>
  <c r="C164" i="62" l="1"/>
  <c r="B164" i="62"/>
  <c r="G163" i="62"/>
  <c r="C163" i="62" l="1"/>
  <c r="B163" i="62"/>
  <c r="G162" i="62"/>
  <c r="C162" i="62" l="1"/>
  <c r="B162" i="62"/>
  <c r="G161" i="62"/>
  <c r="C161" i="62" l="1"/>
  <c r="B161" i="62"/>
  <c r="G160" i="62"/>
  <c r="B160" i="62" l="1"/>
  <c r="C160" i="62"/>
  <c r="G159" i="62"/>
  <c r="B159" i="62" l="1"/>
  <c r="C159" i="62"/>
  <c r="G158" i="62"/>
  <c r="B158" i="62" l="1"/>
  <c r="C158" i="62"/>
  <c r="G157" i="62"/>
  <c r="B157" i="62" l="1"/>
  <c r="C157" i="62"/>
  <c r="G156" i="62"/>
  <c r="B156" i="62" l="1"/>
  <c r="C156" i="62"/>
  <c r="G155" i="62"/>
  <c r="B155" i="62" l="1"/>
  <c r="C155" i="62"/>
  <c r="G154" i="62"/>
  <c r="B154" i="62" l="1"/>
  <c r="C154" i="62"/>
  <c r="G153" i="62"/>
  <c r="C153" i="62" l="1"/>
  <c r="B153" i="62"/>
  <c r="G152" i="62"/>
  <c r="B152" i="62" l="1"/>
  <c r="C152" i="62"/>
  <c r="G151" i="62"/>
  <c r="C151" i="62" l="1"/>
  <c r="B151" i="62"/>
  <c r="G150" i="62"/>
  <c r="C150" i="62" l="1"/>
  <c r="B150" i="62"/>
  <c r="G149" i="62"/>
  <c r="C149" i="62" l="1"/>
  <c r="B149" i="62"/>
  <c r="G148" i="62"/>
  <c r="C148" i="62" l="1"/>
  <c r="B148" i="62"/>
  <c r="G147" i="62"/>
  <c r="C147" i="62" l="1"/>
  <c r="B147" i="62"/>
  <c r="G146" i="62"/>
  <c r="B146" i="62" l="1"/>
  <c r="C146" i="62"/>
  <c r="G145" i="62"/>
  <c r="B145" i="62" l="1"/>
  <c r="C145" i="62"/>
  <c r="G144" i="62"/>
  <c r="C144" i="62" l="1"/>
  <c r="B144" i="62"/>
  <c r="G143" i="62"/>
  <c r="B143" i="62" l="1"/>
  <c r="C143" i="62"/>
  <c r="G142" i="62"/>
  <c r="B142" i="62" l="1"/>
  <c r="C142" i="62"/>
  <c r="G141" i="62"/>
  <c r="C141" i="62" l="1"/>
  <c r="B141" i="62"/>
  <c r="G140" i="62"/>
  <c r="B140" i="62" l="1"/>
  <c r="C140" i="62"/>
  <c r="G139" i="62"/>
  <c r="B139" i="62" l="1"/>
  <c r="C139" i="62"/>
  <c r="G138" i="62"/>
  <c r="B138" i="62" l="1"/>
  <c r="C138" i="62"/>
  <c r="G137" i="62"/>
  <c r="B137" i="62" l="1"/>
  <c r="C137" i="62"/>
  <c r="G136" i="62"/>
  <c r="C136" i="62" l="1"/>
  <c r="B136" i="62"/>
  <c r="G135" i="62"/>
  <c r="C135" i="62" l="1"/>
  <c r="B135" i="62"/>
  <c r="G134" i="62"/>
  <c r="B134" i="62" l="1"/>
  <c r="C134" i="62"/>
  <c r="G133" i="62"/>
  <c r="B133" i="62" l="1"/>
  <c r="C133" i="62"/>
  <c r="G132" i="62"/>
  <c r="B132" i="62" l="1"/>
  <c r="C132" i="62"/>
  <c r="G131" i="62"/>
  <c r="B131" i="62" l="1"/>
  <c r="C131" i="62"/>
  <c r="G130" i="62"/>
  <c r="B130" i="62" l="1"/>
  <c r="C130" i="62"/>
  <c r="G129" i="62"/>
  <c r="C129" i="62" l="1"/>
  <c r="B129" i="62"/>
  <c r="G128" i="62"/>
  <c r="C128" i="62" l="1"/>
  <c r="B128" i="62"/>
  <c r="G127" i="62"/>
  <c r="C127" i="62" l="1"/>
  <c r="B127" i="62"/>
  <c r="G126" i="62"/>
  <c r="C126" i="62" l="1"/>
  <c r="B126" i="62"/>
  <c r="G125" i="62"/>
  <c r="C125" i="62" l="1"/>
  <c r="B125" i="62"/>
  <c r="G124" i="62"/>
  <c r="B124" i="62" l="1"/>
  <c r="C124" i="62"/>
  <c r="G123" i="62"/>
  <c r="B123" i="62" l="1"/>
  <c r="C123" i="62"/>
  <c r="G122" i="62"/>
  <c r="B122" i="62" l="1"/>
  <c r="C122" i="62"/>
  <c r="G121" i="62"/>
  <c r="B121" i="62" l="1"/>
  <c r="C121" i="62"/>
  <c r="G120" i="62"/>
  <c r="C120" i="62" l="1"/>
  <c r="B120" i="62"/>
  <c r="G119" i="62"/>
  <c r="B119" i="62" l="1"/>
  <c r="C119" i="62"/>
  <c r="G118" i="62"/>
  <c r="B118" i="62" l="1"/>
  <c r="C118" i="62"/>
  <c r="G117" i="62"/>
  <c r="C117" i="62" l="1"/>
  <c r="B117" i="62"/>
  <c r="G116" i="62"/>
  <c r="B116" i="62" l="1"/>
  <c r="C116" i="62"/>
  <c r="G115" i="62"/>
  <c r="B115" i="62" l="1"/>
  <c r="C115" i="62"/>
  <c r="G114" i="62"/>
  <c r="C114" i="62" l="1"/>
  <c r="B114" i="62"/>
  <c r="G113" i="62"/>
  <c r="C113" i="62" l="1"/>
  <c r="B113" i="62"/>
  <c r="G112" i="62"/>
  <c r="C112" i="62" l="1"/>
  <c r="B112" i="62"/>
  <c r="G111" i="62"/>
  <c r="C111" i="62" l="1"/>
  <c r="B111" i="62"/>
  <c r="G110" i="62"/>
  <c r="B110" i="62" l="1"/>
  <c r="C110" i="62"/>
  <c r="G109" i="62"/>
  <c r="B109" i="62" l="1"/>
  <c r="C109" i="62"/>
  <c r="G108" i="62"/>
  <c r="B108" i="62" l="1"/>
  <c r="C108" i="62"/>
  <c r="G107" i="62"/>
  <c r="B107" i="62" l="1"/>
  <c r="C107" i="62"/>
  <c r="G106" i="62"/>
  <c r="B106" i="62" l="1"/>
  <c r="C106" i="62"/>
  <c r="G105" i="62"/>
  <c r="C105" i="62" l="1"/>
  <c r="B105" i="62"/>
  <c r="G104" i="62"/>
  <c r="C104" i="62" l="1"/>
  <c r="B104" i="62"/>
  <c r="G103" i="62"/>
  <c r="B103" i="62" l="1"/>
  <c r="C103" i="62"/>
  <c r="G102" i="62"/>
  <c r="B102" i="62" l="1"/>
  <c r="C102" i="62"/>
  <c r="G101" i="62"/>
  <c r="B101" i="62" l="1"/>
  <c r="C101" i="62"/>
  <c r="G100" i="62"/>
  <c r="B100" i="62" l="1"/>
  <c r="C100" i="62"/>
  <c r="G99" i="62"/>
  <c r="B99" i="62" l="1"/>
  <c r="C99" i="62"/>
  <c r="G98" i="62"/>
  <c r="B98" i="62" l="1"/>
  <c r="C98" i="62"/>
  <c r="G97" i="62"/>
  <c r="B97" i="62" l="1"/>
  <c r="C97" i="62"/>
  <c r="G96" i="62"/>
  <c r="C96" i="62" l="1"/>
  <c r="B96" i="62"/>
  <c r="G95" i="62"/>
  <c r="B95" i="62" l="1"/>
  <c r="C95" i="62"/>
  <c r="G94" i="62"/>
  <c r="B94" i="62" l="1"/>
  <c r="C94" i="62"/>
  <c r="G93" i="62"/>
  <c r="C93" i="62" l="1"/>
  <c r="B93" i="62"/>
  <c r="G92" i="62"/>
  <c r="C92" i="62" l="1"/>
  <c r="B92" i="62"/>
  <c r="G91" i="62"/>
  <c r="C91" i="62" l="1"/>
  <c r="B91" i="62"/>
  <c r="G90" i="62"/>
  <c r="C90" i="62" l="1"/>
  <c r="B90" i="62"/>
  <c r="G89" i="62"/>
  <c r="C89" i="62" l="1"/>
  <c r="B89" i="62"/>
  <c r="G88" i="62"/>
  <c r="C88" i="62" l="1"/>
  <c r="B88" i="62"/>
  <c r="G87" i="62"/>
  <c r="C87" i="62" l="1"/>
  <c r="B87" i="62"/>
  <c r="G86" i="62"/>
  <c r="B86" i="62" l="1"/>
  <c r="C86" i="62"/>
  <c r="G85" i="62"/>
  <c r="B85" i="62" l="1"/>
  <c r="C85" i="62"/>
  <c r="G84" i="62"/>
  <c r="B84" i="62" l="1"/>
  <c r="C84" i="62"/>
  <c r="G83" i="62"/>
  <c r="B83" i="62" l="1"/>
  <c r="C83" i="62"/>
  <c r="G82" i="62"/>
  <c r="B82" i="62" l="1"/>
  <c r="C82" i="62"/>
  <c r="G81" i="62"/>
  <c r="C81" i="62" l="1"/>
  <c r="B81" i="62"/>
  <c r="G80" i="62"/>
  <c r="B80" i="62" l="1"/>
  <c r="C80" i="62"/>
  <c r="G79" i="62"/>
  <c r="B79" i="62" l="1"/>
  <c r="C79" i="62"/>
  <c r="G78" i="62"/>
  <c r="B78" i="62" l="1"/>
  <c r="C78" i="62"/>
  <c r="G77" i="62"/>
  <c r="B77" i="62" l="1"/>
  <c r="C77" i="62"/>
  <c r="G76" i="62"/>
  <c r="B76" i="62" l="1"/>
  <c r="C76" i="62"/>
  <c r="G75" i="62"/>
  <c r="C75" i="62" l="1"/>
  <c r="B75" i="62"/>
  <c r="G74" i="62"/>
  <c r="B74" i="62" l="1"/>
  <c r="C74" i="62"/>
  <c r="G73" i="62"/>
  <c r="B73" i="62" l="1"/>
  <c r="C73" i="62"/>
  <c r="G72" i="62"/>
  <c r="C72" i="62" l="1"/>
  <c r="B72" i="62"/>
  <c r="G71" i="62"/>
  <c r="B71" i="62" l="1"/>
  <c r="C71" i="62"/>
  <c r="G70" i="62"/>
  <c r="B70" i="62" l="1"/>
  <c r="C70" i="62"/>
  <c r="G69" i="62"/>
  <c r="B69" i="62" l="1"/>
  <c r="C69" i="62"/>
  <c r="E327" i="62"/>
  <c r="E326" i="62" s="1"/>
  <c r="H326" i="62" s="1"/>
  <c r="M326" i="62" s="1"/>
  <c r="E325" i="62" l="1"/>
  <c r="H325" i="62" s="1"/>
  <c r="M325" i="62" s="1"/>
  <c r="D326" i="62"/>
  <c r="I326" i="62" s="1"/>
  <c r="J326" i="62" s="1"/>
  <c r="D325" i="62" l="1"/>
  <c r="I325" i="62" s="1"/>
  <c r="J325" i="62" s="1"/>
  <c r="E324" i="62"/>
  <c r="H324" i="62" s="1"/>
  <c r="M324" i="62" s="1"/>
  <c r="E323" i="62" l="1"/>
  <c r="H323" i="62" s="1"/>
  <c r="M323" i="62" s="1"/>
  <c r="D324" i="62"/>
  <c r="I324" i="62" s="1"/>
  <c r="J324" i="62" s="1"/>
  <c r="E322" i="62" l="1"/>
  <c r="H322" i="62" s="1"/>
  <c r="M322" i="62" s="1"/>
  <c r="D323" i="62"/>
  <c r="I323" i="62" s="1"/>
  <c r="J323" i="62" s="1"/>
  <c r="D322" i="62" l="1"/>
  <c r="I322" i="62" s="1"/>
  <c r="J322" i="62" s="1"/>
  <c r="E321" i="62"/>
  <c r="H321" i="62" s="1"/>
  <c r="M321" i="62" s="1"/>
  <c r="E320" i="62" l="1"/>
  <c r="H320" i="62" s="1"/>
  <c r="M320" i="62" s="1"/>
  <c r="D321" i="62"/>
  <c r="I321" i="62" s="1"/>
  <c r="J321" i="62" s="1"/>
  <c r="E319" i="62" l="1"/>
  <c r="H319" i="62" s="1"/>
  <c r="M319" i="62" s="1"/>
  <c r="D320" i="62"/>
  <c r="I320" i="62" s="1"/>
  <c r="J320" i="62" s="1"/>
  <c r="E318" i="62" l="1"/>
  <c r="H318" i="62" s="1"/>
  <c r="M318" i="62" s="1"/>
  <c r="D319" i="62"/>
  <c r="I319" i="62" s="1"/>
  <c r="J319" i="62" s="1"/>
  <c r="D318" i="62" l="1"/>
  <c r="I318" i="62" s="1"/>
  <c r="J318" i="62" s="1"/>
  <c r="E317" i="62"/>
  <c r="H317" i="62" s="1"/>
  <c r="M317" i="62" s="1"/>
  <c r="D317" i="62" l="1"/>
  <c r="I317" i="62" s="1"/>
  <c r="J317" i="62" s="1"/>
  <c r="E316" i="62"/>
  <c r="H316" i="62" s="1"/>
  <c r="M316" i="62" s="1"/>
  <c r="E315" i="62" l="1"/>
  <c r="H315" i="62" s="1"/>
  <c r="M315" i="62" s="1"/>
  <c r="D316" i="62"/>
  <c r="I316" i="62" s="1"/>
  <c r="J316" i="62" s="1"/>
  <c r="E314" i="62" l="1"/>
  <c r="H314" i="62" s="1"/>
  <c r="M314" i="62" s="1"/>
  <c r="D315" i="62"/>
  <c r="I315" i="62" s="1"/>
  <c r="J315" i="62" s="1"/>
  <c r="E313" i="62" l="1"/>
  <c r="H313" i="62" s="1"/>
  <c r="M313" i="62" s="1"/>
  <c r="D314" i="62"/>
  <c r="I314" i="62" s="1"/>
  <c r="J314" i="62" s="1"/>
  <c r="D313" i="62" l="1"/>
  <c r="I313" i="62" s="1"/>
  <c r="J313" i="62" s="1"/>
  <c r="E312" i="62"/>
  <c r="H312" i="62" s="1"/>
  <c r="M312" i="62" s="1"/>
  <c r="E311" i="62" l="1"/>
  <c r="H311" i="62" s="1"/>
  <c r="M311" i="62" s="1"/>
  <c r="D312" i="62"/>
  <c r="I312" i="62" s="1"/>
  <c r="J312" i="62" s="1"/>
  <c r="E310" i="62" l="1"/>
  <c r="H310" i="62" s="1"/>
  <c r="M310" i="62" s="1"/>
  <c r="D311" i="62"/>
  <c r="I311" i="62" s="1"/>
  <c r="J311" i="62" s="1"/>
  <c r="E309" i="62" l="1"/>
  <c r="H309" i="62" s="1"/>
  <c r="M309" i="62" s="1"/>
  <c r="D310" i="62"/>
  <c r="I310" i="62" s="1"/>
  <c r="J310" i="62" s="1"/>
  <c r="E308" i="62" l="1"/>
  <c r="H308" i="62" s="1"/>
  <c r="M308" i="62" s="1"/>
  <c r="D309" i="62"/>
  <c r="I309" i="62" s="1"/>
  <c r="J309" i="62" s="1"/>
  <c r="E307" i="62" l="1"/>
  <c r="H307" i="62" s="1"/>
  <c r="M307" i="62" s="1"/>
  <c r="D308" i="62"/>
  <c r="I308" i="62" s="1"/>
  <c r="J308" i="62" s="1"/>
  <c r="E306" i="62" l="1"/>
  <c r="H306" i="62" s="1"/>
  <c r="M306" i="62" s="1"/>
  <c r="D307" i="62"/>
  <c r="I307" i="62" s="1"/>
  <c r="J307" i="62" s="1"/>
  <c r="E305" i="62" l="1"/>
  <c r="H305" i="62" s="1"/>
  <c r="M305" i="62" s="1"/>
  <c r="D306" i="62"/>
  <c r="I306" i="62" s="1"/>
  <c r="J306" i="62" s="1"/>
  <c r="E304" i="62" l="1"/>
  <c r="H304" i="62" s="1"/>
  <c r="M304" i="62" s="1"/>
  <c r="D305" i="62"/>
  <c r="I305" i="62" s="1"/>
  <c r="J305" i="62" s="1"/>
  <c r="E303" i="62" l="1"/>
  <c r="H303" i="62" s="1"/>
  <c r="M303" i="62" s="1"/>
  <c r="D304" i="62"/>
  <c r="I304" i="62" s="1"/>
  <c r="J304" i="62" s="1"/>
  <c r="E302" i="62" l="1"/>
  <c r="H302" i="62" s="1"/>
  <c r="M302" i="62" s="1"/>
  <c r="D303" i="62"/>
  <c r="I303" i="62" s="1"/>
  <c r="J303" i="62" s="1"/>
  <c r="E301" i="62" l="1"/>
  <c r="H301" i="62" s="1"/>
  <c r="M301" i="62" s="1"/>
  <c r="D302" i="62"/>
  <c r="I302" i="62" s="1"/>
  <c r="J302" i="62" s="1"/>
  <c r="E300" i="62" l="1"/>
  <c r="H300" i="62" s="1"/>
  <c r="M300" i="62" s="1"/>
  <c r="D301" i="62"/>
  <c r="I301" i="62" s="1"/>
  <c r="J301" i="62" s="1"/>
  <c r="D300" i="62" l="1"/>
  <c r="I300" i="62" s="1"/>
  <c r="J300" i="62" s="1"/>
  <c r="E299" i="62"/>
  <c r="H299" i="62" s="1"/>
  <c r="M299" i="62" s="1"/>
  <c r="E298" i="62" l="1"/>
  <c r="H298" i="62" s="1"/>
  <c r="M298" i="62" s="1"/>
  <c r="D299" i="62"/>
  <c r="I299" i="62" s="1"/>
  <c r="J299" i="62" s="1"/>
  <c r="D298" i="62" l="1"/>
  <c r="I298" i="62" s="1"/>
  <c r="J298" i="62" s="1"/>
  <c r="E297" i="62"/>
  <c r="H297" i="62" s="1"/>
  <c r="M297" i="62" s="1"/>
  <c r="E296" i="62" l="1"/>
  <c r="H296" i="62" s="1"/>
  <c r="M296" i="62" s="1"/>
  <c r="D297" i="62"/>
  <c r="I297" i="62" s="1"/>
  <c r="J297" i="62" s="1"/>
  <c r="E295" i="62" l="1"/>
  <c r="H295" i="62" s="1"/>
  <c r="M295" i="62" s="1"/>
  <c r="D296" i="62"/>
  <c r="I296" i="62" s="1"/>
  <c r="J296" i="62" s="1"/>
  <c r="D295" i="62" l="1"/>
  <c r="I295" i="62" s="1"/>
  <c r="J295" i="62" s="1"/>
  <c r="E294" i="62"/>
  <c r="H294" i="62" s="1"/>
  <c r="M294" i="62" s="1"/>
  <c r="E293" i="62" l="1"/>
  <c r="H293" i="62" s="1"/>
  <c r="M293" i="62" s="1"/>
  <c r="D294" i="62"/>
  <c r="I294" i="62" s="1"/>
  <c r="J294" i="62" s="1"/>
  <c r="E292" i="62" l="1"/>
  <c r="H292" i="62" s="1"/>
  <c r="M292" i="62" s="1"/>
  <c r="D293" i="62"/>
  <c r="I293" i="62" s="1"/>
  <c r="J293" i="62" s="1"/>
  <c r="E291" i="62" l="1"/>
  <c r="H291" i="62" s="1"/>
  <c r="M291" i="62" s="1"/>
  <c r="D292" i="62"/>
  <c r="I292" i="62" s="1"/>
  <c r="J292" i="62" s="1"/>
  <c r="D291" i="62" l="1"/>
  <c r="I291" i="62" s="1"/>
  <c r="J291" i="62" s="1"/>
  <c r="E290" i="62"/>
  <c r="H290" i="62" s="1"/>
  <c r="M290" i="62" s="1"/>
  <c r="E289" i="62" l="1"/>
  <c r="H289" i="62" s="1"/>
  <c r="M289" i="62" s="1"/>
  <c r="D290" i="62"/>
  <c r="I290" i="62" s="1"/>
  <c r="J290" i="62" s="1"/>
  <c r="E288" i="62" l="1"/>
  <c r="H288" i="62" s="1"/>
  <c r="M288" i="62" s="1"/>
  <c r="D289" i="62"/>
  <c r="I289" i="62" s="1"/>
  <c r="J289" i="62" s="1"/>
  <c r="E287" i="62" l="1"/>
  <c r="H287" i="62" s="1"/>
  <c r="M287" i="62" s="1"/>
  <c r="D288" i="62"/>
  <c r="I288" i="62" s="1"/>
  <c r="J288" i="62" s="1"/>
  <c r="D287" i="62" l="1"/>
  <c r="I287" i="62" s="1"/>
  <c r="J287" i="62" s="1"/>
  <c r="E286" i="62"/>
  <c r="H286" i="62" s="1"/>
  <c r="M286" i="62" s="1"/>
  <c r="E285" i="62" l="1"/>
  <c r="H285" i="62" s="1"/>
  <c r="M285" i="62" s="1"/>
  <c r="D286" i="62"/>
  <c r="I286" i="62" s="1"/>
  <c r="J286" i="62" s="1"/>
  <c r="E284" i="62" l="1"/>
  <c r="H284" i="62" s="1"/>
  <c r="M284" i="62" s="1"/>
  <c r="D285" i="62"/>
  <c r="I285" i="62" s="1"/>
  <c r="J285" i="62" s="1"/>
  <c r="E283" i="62" l="1"/>
  <c r="H283" i="62" s="1"/>
  <c r="M283" i="62" s="1"/>
  <c r="D284" i="62"/>
  <c r="I284" i="62" s="1"/>
  <c r="J284" i="62" s="1"/>
  <c r="E282" i="62" l="1"/>
  <c r="H282" i="62" s="1"/>
  <c r="M282" i="62" s="1"/>
  <c r="D283" i="62"/>
  <c r="I283" i="62" s="1"/>
  <c r="J283" i="62" s="1"/>
  <c r="E281" i="62" l="1"/>
  <c r="H281" i="62" s="1"/>
  <c r="M281" i="62" s="1"/>
  <c r="D282" i="62"/>
  <c r="I282" i="62" s="1"/>
  <c r="J282" i="62" s="1"/>
  <c r="E280" i="62" l="1"/>
  <c r="H280" i="62" s="1"/>
  <c r="M280" i="62" s="1"/>
  <c r="D281" i="62"/>
  <c r="I281" i="62" s="1"/>
  <c r="J281" i="62" s="1"/>
  <c r="E279" i="62" l="1"/>
  <c r="H279" i="62" s="1"/>
  <c r="M279" i="62" s="1"/>
  <c r="D280" i="62"/>
  <c r="I280" i="62" s="1"/>
  <c r="J280" i="62" s="1"/>
  <c r="E278" i="62" l="1"/>
  <c r="H278" i="62" s="1"/>
  <c r="M278" i="62" s="1"/>
  <c r="D279" i="62"/>
  <c r="I279" i="62" s="1"/>
  <c r="J279" i="62" s="1"/>
  <c r="D278" i="62" l="1"/>
  <c r="I278" i="62" s="1"/>
  <c r="J278" i="62" s="1"/>
  <c r="E277" i="62"/>
  <c r="H277" i="62" s="1"/>
  <c r="M277" i="62" s="1"/>
  <c r="E276" i="62" l="1"/>
  <c r="H276" i="62" s="1"/>
  <c r="M276" i="62" s="1"/>
  <c r="D277" i="62"/>
  <c r="I277" i="62" s="1"/>
  <c r="J277" i="62" s="1"/>
  <c r="D276" i="62" l="1"/>
  <c r="I276" i="62" s="1"/>
  <c r="J276" i="62" s="1"/>
  <c r="E275" i="62"/>
  <c r="H275" i="62" s="1"/>
  <c r="M275" i="62" s="1"/>
  <c r="D275" i="62" l="1"/>
  <c r="I275" i="62" s="1"/>
  <c r="J275" i="62" s="1"/>
  <c r="E274" i="62"/>
  <c r="H274" i="62" s="1"/>
  <c r="M274" i="62" s="1"/>
  <c r="E273" i="62" l="1"/>
  <c r="H273" i="62" s="1"/>
  <c r="M273" i="62" s="1"/>
  <c r="D274" i="62"/>
  <c r="I274" i="62" s="1"/>
  <c r="J274" i="62" s="1"/>
  <c r="D273" i="62" l="1"/>
  <c r="I273" i="62" s="1"/>
  <c r="J273" i="62" s="1"/>
  <c r="E272" i="62"/>
  <c r="H272" i="62" s="1"/>
  <c r="M272" i="62" s="1"/>
  <c r="D272" i="62" l="1"/>
  <c r="I272" i="62" s="1"/>
  <c r="J272" i="62" s="1"/>
  <c r="E271" i="62"/>
  <c r="H271" i="62" s="1"/>
  <c r="M271" i="62" s="1"/>
  <c r="D271" i="62" l="1"/>
  <c r="I271" i="62" s="1"/>
  <c r="J271" i="62" s="1"/>
  <c r="E270" i="62"/>
  <c r="H270" i="62" s="1"/>
  <c r="M270" i="62" s="1"/>
  <c r="E269" i="62" l="1"/>
  <c r="H269" i="62" s="1"/>
  <c r="M269" i="62" s="1"/>
  <c r="D270" i="62"/>
  <c r="I270" i="62" s="1"/>
  <c r="J270" i="62" s="1"/>
  <c r="E268" i="62" l="1"/>
  <c r="H268" i="62" s="1"/>
  <c r="M268" i="62" s="1"/>
  <c r="D269" i="62"/>
  <c r="I269" i="62" s="1"/>
  <c r="J269" i="62" s="1"/>
  <c r="E267" i="62" l="1"/>
  <c r="H267" i="62" s="1"/>
  <c r="M267" i="62" s="1"/>
  <c r="D268" i="62"/>
  <c r="I268" i="62" s="1"/>
  <c r="J268" i="62" s="1"/>
  <c r="D267" i="62" l="1"/>
  <c r="I267" i="62" s="1"/>
  <c r="J267" i="62" s="1"/>
  <c r="E266" i="62"/>
  <c r="H266" i="62" s="1"/>
  <c r="M266" i="62" s="1"/>
  <c r="D266" i="62" l="1"/>
  <c r="I266" i="62" s="1"/>
  <c r="J266" i="62" s="1"/>
  <c r="E265" i="62"/>
  <c r="H265" i="62" s="1"/>
  <c r="M265" i="62" s="1"/>
  <c r="E264" i="62" l="1"/>
  <c r="H264" i="62" s="1"/>
  <c r="M264" i="62" s="1"/>
  <c r="D265" i="62"/>
  <c r="I265" i="62" s="1"/>
  <c r="J265" i="62" s="1"/>
  <c r="E263" i="62" l="1"/>
  <c r="H263" i="62" s="1"/>
  <c r="M263" i="62" s="1"/>
  <c r="D264" i="62"/>
  <c r="I264" i="62" s="1"/>
  <c r="J264" i="62" s="1"/>
  <c r="E262" i="62" l="1"/>
  <c r="H262" i="62" s="1"/>
  <c r="M262" i="62" s="1"/>
  <c r="D263" i="62"/>
  <c r="I263" i="62" s="1"/>
  <c r="J263" i="62" s="1"/>
  <c r="E261" i="62" l="1"/>
  <c r="H261" i="62" s="1"/>
  <c r="M261" i="62" s="1"/>
  <c r="D262" i="62"/>
  <c r="I262" i="62" s="1"/>
  <c r="J262" i="62" s="1"/>
  <c r="E260" i="62" l="1"/>
  <c r="H260" i="62" s="1"/>
  <c r="M260" i="62" s="1"/>
  <c r="D261" i="62"/>
  <c r="I261" i="62" s="1"/>
  <c r="J261" i="62" s="1"/>
  <c r="E259" i="62" l="1"/>
  <c r="H259" i="62" s="1"/>
  <c r="M259" i="62" s="1"/>
  <c r="D260" i="62"/>
  <c r="I260" i="62" s="1"/>
  <c r="J260" i="62" s="1"/>
  <c r="E258" i="62" l="1"/>
  <c r="H258" i="62" s="1"/>
  <c r="M258" i="62" s="1"/>
  <c r="D259" i="62"/>
  <c r="I259" i="62" s="1"/>
  <c r="J259" i="62" s="1"/>
  <c r="E257" i="62" l="1"/>
  <c r="H257" i="62" s="1"/>
  <c r="M257" i="62" s="1"/>
  <c r="D258" i="62"/>
  <c r="I258" i="62" s="1"/>
  <c r="J258" i="62" s="1"/>
  <c r="E256" i="62" l="1"/>
  <c r="H256" i="62" s="1"/>
  <c r="M256" i="62" s="1"/>
  <c r="D257" i="62"/>
  <c r="I257" i="62" s="1"/>
  <c r="J257" i="62" s="1"/>
  <c r="E255" i="62" l="1"/>
  <c r="H255" i="62" s="1"/>
  <c r="M255" i="62" s="1"/>
  <c r="D256" i="62"/>
  <c r="I256" i="62" s="1"/>
  <c r="J256" i="62" s="1"/>
  <c r="E254" i="62" l="1"/>
  <c r="H254" i="62" s="1"/>
  <c r="M254" i="62" s="1"/>
  <c r="D255" i="62"/>
  <c r="I255" i="62" s="1"/>
  <c r="J255" i="62" s="1"/>
  <c r="D254" i="62" l="1"/>
  <c r="I254" i="62" s="1"/>
  <c r="J254" i="62" s="1"/>
  <c r="E253" i="62"/>
  <c r="H253" i="62" s="1"/>
  <c r="M253" i="62" s="1"/>
  <c r="E252" i="62" l="1"/>
  <c r="H252" i="62" s="1"/>
  <c r="M252" i="62" s="1"/>
  <c r="D253" i="62"/>
  <c r="I253" i="62" s="1"/>
  <c r="J253" i="62" s="1"/>
  <c r="D252" i="62" l="1"/>
  <c r="I252" i="62" s="1"/>
  <c r="J252" i="62" s="1"/>
  <c r="E251" i="62"/>
  <c r="H251" i="62" s="1"/>
  <c r="M251" i="62" s="1"/>
  <c r="D251" i="62" l="1"/>
  <c r="I251" i="62" s="1"/>
  <c r="J251" i="62" s="1"/>
  <c r="E250" i="62"/>
  <c r="H250" i="62" s="1"/>
  <c r="M250" i="62" s="1"/>
  <c r="E249" i="62" l="1"/>
  <c r="H249" i="62" s="1"/>
  <c r="M249" i="62" s="1"/>
  <c r="D250" i="62"/>
  <c r="I250" i="62" s="1"/>
  <c r="J250" i="62" s="1"/>
  <c r="D249" i="62" l="1"/>
  <c r="I249" i="62" s="1"/>
  <c r="J249" i="62" s="1"/>
  <c r="E248" i="62"/>
  <c r="H248" i="62" s="1"/>
  <c r="M248" i="62" s="1"/>
  <c r="D248" i="62" l="1"/>
  <c r="I248" i="62" s="1"/>
  <c r="J248" i="62" s="1"/>
  <c r="E247" i="62"/>
  <c r="H247" i="62" s="1"/>
  <c r="M247" i="62" s="1"/>
  <c r="E246" i="62" l="1"/>
  <c r="H246" i="62" s="1"/>
  <c r="M246" i="62" s="1"/>
  <c r="D247" i="62"/>
  <c r="I247" i="62" s="1"/>
  <c r="J247" i="62" s="1"/>
  <c r="E245" i="62" l="1"/>
  <c r="H245" i="62" s="1"/>
  <c r="M245" i="62" s="1"/>
  <c r="D246" i="62"/>
  <c r="I246" i="62" s="1"/>
  <c r="J246" i="62" s="1"/>
  <c r="E244" i="62" l="1"/>
  <c r="H244" i="62" s="1"/>
  <c r="M244" i="62" s="1"/>
  <c r="D245" i="62"/>
  <c r="I245" i="62" s="1"/>
  <c r="J245" i="62" s="1"/>
  <c r="E243" i="62" l="1"/>
  <c r="H243" i="62" s="1"/>
  <c r="M243" i="62" s="1"/>
  <c r="D244" i="62"/>
  <c r="I244" i="62" s="1"/>
  <c r="J244" i="62" s="1"/>
  <c r="E242" i="62" l="1"/>
  <c r="H242" i="62" s="1"/>
  <c r="M242" i="62" s="1"/>
  <c r="D243" i="62"/>
  <c r="I243" i="62" s="1"/>
  <c r="J243" i="62" s="1"/>
  <c r="E241" i="62" l="1"/>
  <c r="H241" i="62" s="1"/>
  <c r="M241" i="62" s="1"/>
  <c r="D242" i="62"/>
  <c r="I242" i="62" s="1"/>
  <c r="J242" i="62" s="1"/>
  <c r="D241" i="62" l="1"/>
  <c r="I241" i="62" s="1"/>
  <c r="J241" i="62" s="1"/>
  <c r="E240" i="62"/>
  <c r="H240" i="62" s="1"/>
  <c r="M240" i="62" s="1"/>
  <c r="D240" i="62" l="1"/>
  <c r="I240" i="62" s="1"/>
  <c r="J240" i="62" s="1"/>
  <c r="E239" i="62"/>
  <c r="H239" i="62" s="1"/>
  <c r="M239" i="62" s="1"/>
  <c r="E238" i="62" l="1"/>
  <c r="H238" i="62" s="1"/>
  <c r="M238" i="62" s="1"/>
  <c r="D239" i="62"/>
  <c r="I239" i="62" s="1"/>
  <c r="J239" i="62" s="1"/>
  <c r="E237" i="62" l="1"/>
  <c r="H237" i="62" s="1"/>
  <c r="M237" i="62" s="1"/>
  <c r="D238" i="62"/>
  <c r="I238" i="62" s="1"/>
  <c r="J238" i="62" s="1"/>
  <c r="E236" i="62" l="1"/>
  <c r="H236" i="62" s="1"/>
  <c r="M236" i="62" s="1"/>
  <c r="D237" i="62"/>
  <c r="I237" i="62" s="1"/>
  <c r="J237" i="62" s="1"/>
  <c r="E235" i="62" l="1"/>
  <c r="H235" i="62" s="1"/>
  <c r="M235" i="62" s="1"/>
  <c r="D236" i="62"/>
  <c r="I236" i="62" s="1"/>
  <c r="J236" i="62" s="1"/>
  <c r="E234" i="62" l="1"/>
  <c r="H234" i="62" s="1"/>
  <c r="M234" i="62" s="1"/>
  <c r="D235" i="62"/>
  <c r="I235" i="62" s="1"/>
  <c r="J235" i="62" s="1"/>
  <c r="E233" i="62" l="1"/>
  <c r="H233" i="62" s="1"/>
  <c r="M233" i="62" s="1"/>
  <c r="D234" i="62"/>
  <c r="I234" i="62" s="1"/>
  <c r="J234" i="62" s="1"/>
  <c r="E232" i="62" l="1"/>
  <c r="H232" i="62" s="1"/>
  <c r="M232" i="62" s="1"/>
  <c r="D233" i="62"/>
  <c r="I233" i="62" s="1"/>
  <c r="J233" i="62" s="1"/>
  <c r="E231" i="62" l="1"/>
  <c r="H231" i="62" s="1"/>
  <c r="M231" i="62" s="1"/>
  <c r="D232" i="62"/>
  <c r="I232" i="62" s="1"/>
  <c r="J232" i="62" s="1"/>
  <c r="E230" i="62" l="1"/>
  <c r="H230" i="62" s="1"/>
  <c r="M230" i="62" s="1"/>
  <c r="D231" i="62"/>
  <c r="I231" i="62" s="1"/>
  <c r="J231" i="62" s="1"/>
  <c r="E229" i="62" l="1"/>
  <c r="H229" i="62" s="1"/>
  <c r="M229" i="62" s="1"/>
  <c r="D230" i="62"/>
  <c r="I230" i="62" s="1"/>
  <c r="J230" i="62" s="1"/>
  <c r="E228" i="62" l="1"/>
  <c r="H228" i="62" s="1"/>
  <c r="M228" i="62" s="1"/>
  <c r="D229" i="62"/>
  <c r="I229" i="62" s="1"/>
  <c r="J229" i="62" s="1"/>
  <c r="D228" i="62" l="1"/>
  <c r="I228" i="62" s="1"/>
  <c r="J228" i="62" s="1"/>
  <c r="E227" i="62"/>
  <c r="H227" i="62" s="1"/>
  <c r="M227" i="62" s="1"/>
  <c r="E226" i="62" l="1"/>
  <c r="H226" i="62" s="1"/>
  <c r="M226" i="62" s="1"/>
  <c r="D227" i="62"/>
  <c r="I227" i="62" s="1"/>
  <c r="J227" i="62" s="1"/>
  <c r="E225" i="62" l="1"/>
  <c r="H225" i="62" s="1"/>
  <c r="M225" i="62" s="1"/>
  <c r="D226" i="62"/>
  <c r="I226" i="62" s="1"/>
  <c r="J226" i="62" s="1"/>
  <c r="E224" i="62" l="1"/>
  <c r="H224" i="62" s="1"/>
  <c r="M224" i="62" s="1"/>
  <c r="D225" i="62"/>
  <c r="I225" i="62" s="1"/>
  <c r="J225" i="62" s="1"/>
  <c r="E223" i="62" l="1"/>
  <c r="H223" i="62" s="1"/>
  <c r="M223" i="62" s="1"/>
  <c r="D224" i="62"/>
  <c r="I224" i="62" s="1"/>
  <c r="J224" i="62" s="1"/>
  <c r="D223" i="62" l="1"/>
  <c r="I223" i="62" s="1"/>
  <c r="J223" i="62" s="1"/>
  <c r="E222" i="62"/>
  <c r="H222" i="62" s="1"/>
  <c r="M222" i="62" s="1"/>
  <c r="D222" i="62" l="1"/>
  <c r="I222" i="62" s="1"/>
  <c r="J222" i="62" s="1"/>
  <c r="E221" i="62"/>
  <c r="H221" i="62" s="1"/>
  <c r="M221" i="62" s="1"/>
  <c r="E220" i="62" l="1"/>
  <c r="H220" i="62" s="1"/>
  <c r="M220" i="62" s="1"/>
  <c r="D221" i="62"/>
  <c r="I221" i="62" s="1"/>
  <c r="J221" i="62" s="1"/>
  <c r="E219" i="62" l="1"/>
  <c r="H219" i="62" s="1"/>
  <c r="M219" i="62" s="1"/>
  <c r="D220" i="62"/>
  <c r="I220" i="62" s="1"/>
  <c r="J220" i="62" s="1"/>
  <c r="D219" i="62" l="1"/>
  <c r="I219" i="62" s="1"/>
  <c r="J219" i="62" s="1"/>
  <c r="E218" i="62"/>
  <c r="H218" i="62" s="1"/>
  <c r="M218" i="62" s="1"/>
  <c r="D218" i="62" l="1"/>
  <c r="I218" i="62" s="1"/>
  <c r="J218" i="62" s="1"/>
  <c r="E217" i="62"/>
  <c r="H217" i="62" s="1"/>
  <c r="M217" i="62" s="1"/>
  <c r="E216" i="62" l="1"/>
  <c r="H216" i="62" s="1"/>
  <c r="M216" i="62" s="1"/>
  <c r="D217" i="62"/>
  <c r="I217" i="62" s="1"/>
  <c r="J217" i="62" s="1"/>
  <c r="E215" i="62" l="1"/>
  <c r="H215" i="62" s="1"/>
  <c r="M215" i="62" s="1"/>
  <c r="D216" i="62"/>
  <c r="I216" i="62" s="1"/>
  <c r="J216" i="62" s="1"/>
  <c r="E214" i="62" l="1"/>
  <c r="H214" i="62" s="1"/>
  <c r="M214" i="62" s="1"/>
  <c r="D215" i="62"/>
  <c r="I215" i="62" s="1"/>
  <c r="J215" i="62" s="1"/>
  <c r="E213" i="62" l="1"/>
  <c r="H213" i="62" s="1"/>
  <c r="M213" i="62" s="1"/>
  <c r="D214" i="62"/>
  <c r="I214" i="62" s="1"/>
  <c r="J214" i="62" s="1"/>
  <c r="E212" i="62" l="1"/>
  <c r="H212" i="62" s="1"/>
  <c r="M212" i="62" s="1"/>
  <c r="D213" i="62"/>
  <c r="I213" i="62" s="1"/>
  <c r="J213" i="62" s="1"/>
  <c r="E211" i="62" l="1"/>
  <c r="H211" i="62" s="1"/>
  <c r="M211" i="62" s="1"/>
  <c r="D212" i="62"/>
  <c r="I212" i="62" s="1"/>
  <c r="J212" i="62" s="1"/>
  <c r="D211" i="62" l="1"/>
  <c r="I211" i="62" s="1"/>
  <c r="J211" i="62" s="1"/>
  <c r="E210" i="62"/>
  <c r="H210" i="62" s="1"/>
  <c r="M210" i="62" s="1"/>
  <c r="E209" i="62" l="1"/>
  <c r="H209" i="62" s="1"/>
  <c r="M209" i="62" s="1"/>
  <c r="D210" i="62"/>
  <c r="I210" i="62" s="1"/>
  <c r="J210" i="62" s="1"/>
  <c r="E208" i="62" l="1"/>
  <c r="H208" i="62" s="1"/>
  <c r="M208" i="62" s="1"/>
  <c r="D209" i="62"/>
  <c r="I209" i="62" s="1"/>
  <c r="J209" i="62" s="1"/>
  <c r="D208" i="62" l="1"/>
  <c r="I208" i="62" s="1"/>
  <c r="J208" i="62" s="1"/>
  <c r="E207" i="62"/>
  <c r="H207" i="62" s="1"/>
  <c r="M207" i="62" s="1"/>
  <c r="E206" i="62" l="1"/>
  <c r="H206" i="62" s="1"/>
  <c r="M206" i="62" s="1"/>
  <c r="D207" i="62"/>
  <c r="I207" i="62" s="1"/>
  <c r="J207" i="62" s="1"/>
  <c r="E205" i="62" l="1"/>
  <c r="H205" i="62" s="1"/>
  <c r="M205" i="62" s="1"/>
  <c r="D206" i="62"/>
  <c r="I206" i="62" s="1"/>
  <c r="J206" i="62" s="1"/>
  <c r="E204" i="62" l="1"/>
  <c r="H204" i="62" s="1"/>
  <c r="M204" i="62" s="1"/>
  <c r="D205" i="62"/>
  <c r="I205" i="62" s="1"/>
  <c r="J205" i="62" s="1"/>
  <c r="E203" i="62" l="1"/>
  <c r="H203" i="62" s="1"/>
  <c r="M203" i="62" s="1"/>
  <c r="D204" i="62"/>
  <c r="I204" i="62" s="1"/>
  <c r="J204" i="62" s="1"/>
  <c r="E202" i="62" l="1"/>
  <c r="H202" i="62" s="1"/>
  <c r="M202" i="62" s="1"/>
  <c r="D203" i="62"/>
  <c r="I203" i="62" s="1"/>
  <c r="J203" i="62" s="1"/>
  <c r="E201" i="62" l="1"/>
  <c r="H201" i="62" s="1"/>
  <c r="M201" i="62" s="1"/>
  <c r="D202" i="62"/>
  <c r="I202" i="62" s="1"/>
  <c r="J202" i="62" s="1"/>
  <c r="E200" i="62" l="1"/>
  <c r="H200" i="62" s="1"/>
  <c r="M200" i="62" s="1"/>
  <c r="D201" i="62"/>
  <c r="I201" i="62" s="1"/>
  <c r="J201" i="62" s="1"/>
  <c r="E199" i="62" l="1"/>
  <c r="H199" i="62" s="1"/>
  <c r="M199" i="62" s="1"/>
  <c r="D200" i="62"/>
  <c r="I200" i="62" s="1"/>
  <c r="J200" i="62" s="1"/>
  <c r="E198" i="62" l="1"/>
  <c r="H198" i="62" s="1"/>
  <c r="M198" i="62" s="1"/>
  <c r="D199" i="62"/>
  <c r="I199" i="62" s="1"/>
  <c r="J199" i="62" s="1"/>
  <c r="E197" i="62" l="1"/>
  <c r="H197" i="62" s="1"/>
  <c r="M197" i="62" s="1"/>
  <c r="D198" i="62"/>
  <c r="I198" i="62" s="1"/>
  <c r="J198" i="62" s="1"/>
  <c r="E196" i="62" l="1"/>
  <c r="H196" i="62" s="1"/>
  <c r="M196" i="62" s="1"/>
  <c r="D197" i="62"/>
  <c r="I197" i="62" s="1"/>
  <c r="J197" i="62" s="1"/>
  <c r="E195" i="62" l="1"/>
  <c r="H195" i="62" s="1"/>
  <c r="M195" i="62" s="1"/>
  <c r="D196" i="62"/>
  <c r="I196" i="62" s="1"/>
  <c r="J196" i="62" s="1"/>
  <c r="E194" i="62" l="1"/>
  <c r="H194" i="62" s="1"/>
  <c r="M194" i="62" s="1"/>
  <c r="D195" i="62"/>
  <c r="I195" i="62" s="1"/>
  <c r="J195" i="62" s="1"/>
  <c r="E193" i="62" l="1"/>
  <c r="H193" i="62" s="1"/>
  <c r="M193" i="62" s="1"/>
  <c r="D194" i="62"/>
  <c r="I194" i="62" s="1"/>
  <c r="J194" i="62" s="1"/>
  <c r="E192" i="62" l="1"/>
  <c r="H192" i="62" s="1"/>
  <c r="M192" i="62" s="1"/>
  <c r="D193" i="62"/>
  <c r="I193" i="62" s="1"/>
  <c r="J193" i="62" s="1"/>
  <c r="D192" i="62" l="1"/>
  <c r="I192" i="62" s="1"/>
  <c r="J192" i="62" s="1"/>
  <c r="E191" i="62"/>
  <c r="H191" i="62" s="1"/>
  <c r="M191" i="62" s="1"/>
  <c r="E190" i="62" l="1"/>
  <c r="H190" i="62" s="1"/>
  <c r="M190" i="62" s="1"/>
  <c r="D191" i="62"/>
  <c r="I191" i="62" s="1"/>
  <c r="J191" i="62" s="1"/>
  <c r="D190" i="62" l="1"/>
  <c r="I190" i="62" s="1"/>
  <c r="J190" i="62" s="1"/>
  <c r="E189" i="62"/>
  <c r="H189" i="62" s="1"/>
  <c r="M189" i="62" s="1"/>
  <c r="D189" i="62" l="1"/>
  <c r="I189" i="62" s="1"/>
  <c r="J189" i="62" s="1"/>
  <c r="E188" i="62"/>
  <c r="H188" i="62" s="1"/>
  <c r="M188" i="62" s="1"/>
  <c r="D188" i="62" l="1"/>
  <c r="I188" i="62" s="1"/>
  <c r="J188" i="62" s="1"/>
  <c r="E187" i="62"/>
  <c r="H187" i="62" s="1"/>
  <c r="M187" i="62" s="1"/>
  <c r="E186" i="62" l="1"/>
  <c r="H186" i="62" s="1"/>
  <c r="M186" i="62" s="1"/>
  <c r="D187" i="62"/>
  <c r="I187" i="62" s="1"/>
  <c r="J187" i="62" s="1"/>
  <c r="E185" i="62" l="1"/>
  <c r="H185" i="62" s="1"/>
  <c r="M185" i="62" s="1"/>
  <c r="D186" i="62"/>
  <c r="I186" i="62" s="1"/>
  <c r="J186" i="62" s="1"/>
  <c r="E184" i="62" l="1"/>
  <c r="H184" i="62" s="1"/>
  <c r="M184" i="62" s="1"/>
  <c r="D185" i="62"/>
  <c r="I185" i="62" s="1"/>
  <c r="J185" i="62" s="1"/>
  <c r="D184" i="62" l="1"/>
  <c r="I184" i="62" s="1"/>
  <c r="J184" i="62" s="1"/>
  <c r="E183" i="62"/>
  <c r="H183" i="62" s="1"/>
  <c r="M183" i="62" s="1"/>
  <c r="E182" i="62" l="1"/>
  <c r="H182" i="62" s="1"/>
  <c r="M182" i="62" s="1"/>
  <c r="D183" i="62"/>
  <c r="I183" i="62" s="1"/>
  <c r="J183" i="62" s="1"/>
  <c r="E181" i="62" l="1"/>
  <c r="H181" i="62" s="1"/>
  <c r="M181" i="62" s="1"/>
  <c r="D182" i="62"/>
  <c r="I182" i="62" s="1"/>
  <c r="J182" i="62" s="1"/>
  <c r="E180" i="62" l="1"/>
  <c r="H180" i="62" s="1"/>
  <c r="M180" i="62" s="1"/>
  <c r="D181" i="62"/>
  <c r="I181" i="62" s="1"/>
  <c r="J181" i="62" s="1"/>
  <c r="E179" i="62" l="1"/>
  <c r="H179" i="62" s="1"/>
  <c r="M179" i="62" s="1"/>
  <c r="D180" i="62"/>
  <c r="I180" i="62" s="1"/>
  <c r="J180" i="62" s="1"/>
  <c r="E178" i="62" l="1"/>
  <c r="H178" i="62" s="1"/>
  <c r="M178" i="62" s="1"/>
  <c r="D179" i="62"/>
  <c r="I179" i="62" s="1"/>
  <c r="J179" i="62" s="1"/>
  <c r="E177" i="62" l="1"/>
  <c r="H177" i="62" s="1"/>
  <c r="M177" i="62" s="1"/>
  <c r="D178" i="62"/>
  <c r="I178" i="62" s="1"/>
  <c r="J178" i="62" s="1"/>
  <c r="E176" i="62" l="1"/>
  <c r="H176" i="62" s="1"/>
  <c r="M176" i="62" s="1"/>
  <c r="D177" i="62"/>
  <c r="I177" i="62" s="1"/>
  <c r="J177" i="62" s="1"/>
  <c r="D176" i="62" l="1"/>
  <c r="I176" i="62" s="1"/>
  <c r="J176" i="62" s="1"/>
  <c r="E175" i="62"/>
  <c r="H175" i="62" s="1"/>
  <c r="M175" i="62" s="1"/>
  <c r="D175" i="62" l="1"/>
  <c r="I175" i="62" s="1"/>
  <c r="J175" i="62" s="1"/>
  <c r="E174" i="62"/>
  <c r="H174" i="62" s="1"/>
  <c r="M174" i="62" s="1"/>
  <c r="E173" i="62" l="1"/>
  <c r="H173" i="62" s="1"/>
  <c r="M173" i="62" s="1"/>
  <c r="D174" i="62"/>
  <c r="I174" i="62" s="1"/>
  <c r="J174" i="62" s="1"/>
  <c r="E172" i="62" l="1"/>
  <c r="H172" i="62" s="1"/>
  <c r="M172" i="62" s="1"/>
  <c r="D173" i="62"/>
  <c r="I173" i="62" s="1"/>
  <c r="J173" i="62" s="1"/>
  <c r="E171" i="62" l="1"/>
  <c r="H171" i="62" s="1"/>
  <c r="M171" i="62" s="1"/>
  <c r="D172" i="62"/>
  <c r="I172" i="62" s="1"/>
  <c r="J172" i="62" s="1"/>
  <c r="E170" i="62" l="1"/>
  <c r="H170" i="62" s="1"/>
  <c r="M170" i="62" s="1"/>
  <c r="D171" i="62"/>
  <c r="I171" i="62" s="1"/>
  <c r="J171" i="62" s="1"/>
  <c r="E169" i="62" l="1"/>
  <c r="H169" i="62" s="1"/>
  <c r="M169" i="62" s="1"/>
  <c r="D170" i="62"/>
  <c r="I170" i="62" s="1"/>
  <c r="J170" i="62" s="1"/>
  <c r="E168" i="62" l="1"/>
  <c r="H168" i="62" s="1"/>
  <c r="M168" i="62" s="1"/>
  <c r="D169" i="62"/>
  <c r="I169" i="62" s="1"/>
  <c r="J169" i="62" s="1"/>
  <c r="E167" i="62" l="1"/>
  <c r="H167" i="62" s="1"/>
  <c r="M167" i="62" s="1"/>
  <c r="D168" i="62"/>
  <c r="I168" i="62" s="1"/>
  <c r="J168" i="62" s="1"/>
  <c r="E166" i="62" l="1"/>
  <c r="H166" i="62" s="1"/>
  <c r="M166" i="62" s="1"/>
  <c r="D167" i="62"/>
  <c r="I167" i="62" s="1"/>
  <c r="J167" i="62" s="1"/>
  <c r="E165" i="62" l="1"/>
  <c r="H165" i="62" s="1"/>
  <c r="M165" i="62" s="1"/>
  <c r="D166" i="62"/>
  <c r="I166" i="62" s="1"/>
  <c r="J166" i="62" s="1"/>
  <c r="D165" i="62" l="1"/>
  <c r="I165" i="62" s="1"/>
  <c r="J165" i="62" s="1"/>
  <c r="E164" i="62"/>
  <c r="H164" i="62" s="1"/>
  <c r="M164" i="62" s="1"/>
  <c r="E163" i="62" l="1"/>
  <c r="H163" i="62" s="1"/>
  <c r="M163" i="62" s="1"/>
  <c r="D164" i="62"/>
  <c r="I164" i="62" s="1"/>
  <c r="J164" i="62" s="1"/>
  <c r="E162" i="62" l="1"/>
  <c r="H162" i="62" s="1"/>
  <c r="M162" i="62" s="1"/>
  <c r="D163" i="62"/>
  <c r="I163" i="62" s="1"/>
  <c r="J163" i="62" s="1"/>
  <c r="E161" i="62" l="1"/>
  <c r="H161" i="62" s="1"/>
  <c r="M161" i="62" s="1"/>
  <c r="D162" i="62"/>
  <c r="I162" i="62" s="1"/>
  <c r="J162" i="62" s="1"/>
  <c r="D161" i="62" l="1"/>
  <c r="I161" i="62" s="1"/>
  <c r="J161" i="62" s="1"/>
  <c r="E160" i="62"/>
  <c r="H160" i="62" s="1"/>
  <c r="M160" i="62" s="1"/>
  <c r="E159" i="62" l="1"/>
  <c r="H159" i="62" s="1"/>
  <c r="M159" i="62" s="1"/>
  <c r="D160" i="62"/>
  <c r="I160" i="62" s="1"/>
  <c r="J160" i="62" s="1"/>
  <c r="E158" i="62" l="1"/>
  <c r="H158" i="62" s="1"/>
  <c r="M158" i="62" s="1"/>
  <c r="D159" i="62"/>
  <c r="I159" i="62" s="1"/>
  <c r="J159" i="62" s="1"/>
  <c r="E157" i="62" l="1"/>
  <c r="H157" i="62" s="1"/>
  <c r="M157" i="62" s="1"/>
  <c r="D158" i="62"/>
  <c r="I158" i="62" s="1"/>
  <c r="J158" i="62" s="1"/>
  <c r="E156" i="62" l="1"/>
  <c r="H156" i="62" s="1"/>
  <c r="M156" i="62" s="1"/>
  <c r="D157" i="62"/>
  <c r="I157" i="62" s="1"/>
  <c r="J157" i="62" s="1"/>
  <c r="E155" i="62" l="1"/>
  <c r="H155" i="62" s="1"/>
  <c r="M155" i="62" s="1"/>
  <c r="D156" i="62"/>
  <c r="I156" i="62" s="1"/>
  <c r="J156" i="62" s="1"/>
  <c r="E154" i="62" l="1"/>
  <c r="H154" i="62" s="1"/>
  <c r="M154" i="62" s="1"/>
  <c r="D155" i="62"/>
  <c r="I155" i="62" s="1"/>
  <c r="J155" i="62" s="1"/>
  <c r="E153" i="62" l="1"/>
  <c r="H153" i="62" s="1"/>
  <c r="M153" i="62" s="1"/>
  <c r="D154" i="62"/>
  <c r="I154" i="62" s="1"/>
  <c r="J154" i="62" s="1"/>
  <c r="E152" i="62" l="1"/>
  <c r="H152" i="62" s="1"/>
  <c r="M152" i="62" s="1"/>
  <c r="D153" i="62"/>
  <c r="I153" i="62" s="1"/>
  <c r="J153" i="62" s="1"/>
  <c r="E151" i="62" l="1"/>
  <c r="H151" i="62" s="1"/>
  <c r="M151" i="62" s="1"/>
  <c r="D152" i="62"/>
  <c r="I152" i="62" s="1"/>
  <c r="J152" i="62" s="1"/>
  <c r="E150" i="62" l="1"/>
  <c r="H150" i="62" s="1"/>
  <c r="M150" i="62" s="1"/>
  <c r="D151" i="62"/>
  <c r="I151" i="62" s="1"/>
  <c r="J151" i="62" s="1"/>
  <c r="E149" i="62" l="1"/>
  <c r="H149" i="62" s="1"/>
  <c r="M149" i="62" s="1"/>
  <c r="D150" i="62"/>
  <c r="I150" i="62" s="1"/>
  <c r="J150" i="62" s="1"/>
  <c r="E148" i="62" l="1"/>
  <c r="H148" i="62" s="1"/>
  <c r="M148" i="62" s="1"/>
  <c r="D149" i="62"/>
  <c r="I149" i="62" s="1"/>
  <c r="J149" i="62" s="1"/>
  <c r="D148" i="62" l="1"/>
  <c r="I148" i="62" s="1"/>
  <c r="J148" i="62" s="1"/>
  <c r="E147" i="62"/>
  <c r="H147" i="62" s="1"/>
  <c r="M147" i="62" s="1"/>
  <c r="D147" i="62" l="1"/>
  <c r="I147" i="62" s="1"/>
  <c r="J147" i="62" s="1"/>
  <c r="E146" i="62"/>
  <c r="H146" i="62" s="1"/>
  <c r="M146" i="62" s="1"/>
  <c r="D146" i="62" l="1"/>
  <c r="I146" i="62" s="1"/>
  <c r="J146" i="62" s="1"/>
  <c r="E145" i="62"/>
  <c r="H145" i="62" s="1"/>
  <c r="M145" i="62" s="1"/>
  <c r="D145" i="62" l="1"/>
  <c r="I145" i="62" s="1"/>
  <c r="J145" i="62" s="1"/>
  <c r="E144" i="62"/>
  <c r="H144" i="62" s="1"/>
  <c r="M144" i="62" s="1"/>
  <c r="E143" i="62" l="1"/>
  <c r="H143" i="62" s="1"/>
  <c r="M143" i="62" s="1"/>
  <c r="D144" i="62"/>
  <c r="I144" i="62" s="1"/>
  <c r="J144" i="62" s="1"/>
  <c r="D143" i="62" l="1"/>
  <c r="I143" i="62" s="1"/>
  <c r="J143" i="62" s="1"/>
  <c r="E142" i="62"/>
  <c r="H142" i="62" s="1"/>
  <c r="M142" i="62" s="1"/>
  <c r="E141" i="62" l="1"/>
  <c r="H141" i="62" s="1"/>
  <c r="M141" i="62" s="1"/>
  <c r="D142" i="62"/>
  <c r="I142" i="62" s="1"/>
  <c r="J142" i="62" s="1"/>
  <c r="E140" i="62" l="1"/>
  <c r="H140" i="62" s="1"/>
  <c r="M140" i="62" s="1"/>
  <c r="D141" i="62"/>
  <c r="I141" i="62" s="1"/>
  <c r="J141" i="62" s="1"/>
  <c r="D140" i="62" l="1"/>
  <c r="I140" i="62" s="1"/>
  <c r="J140" i="62" s="1"/>
  <c r="E139" i="62"/>
  <c r="H139" i="62" s="1"/>
  <c r="M139" i="62" s="1"/>
  <c r="E138" i="62" l="1"/>
  <c r="H138" i="62" s="1"/>
  <c r="M138" i="62" s="1"/>
  <c r="D139" i="62"/>
  <c r="I139" i="62" s="1"/>
  <c r="J139" i="62" s="1"/>
  <c r="E137" i="62" l="1"/>
  <c r="H137" i="62" s="1"/>
  <c r="M137" i="62" s="1"/>
  <c r="D138" i="62"/>
  <c r="I138" i="62" s="1"/>
  <c r="J138" i="62" s="1"/>
  <c r="E136" i="62" l="1"/>
  <c r="H136" i="62" s="1"/>
  <c r="M136" i="62" s="1"/>
  <c r="D137" i="62"/>
  <c r="I137" i="62" s="1"/>
  <c r="J137" i="62" s="1"/>
  <c r="E135" i="62" l="1"/>
  <c r="H135" i="62" s="1"/>
  <c r="M135" i="62" s="1"/>
  <c r="D136" i="62"/>
  <c r="I136" i="62" s="1"/>
  <c r="J136" i="62" s="1"/>
  <c r="E134" i="62" l="1"/>
  <c r="H134" i="62" s="1"/>
  <c r="M134" i="62" s="1"/>
  <c r="D135" i="62"/>
  <c r="I135" i="62" s="1"/>
  <c r="J135" i="62" s="1"/>
  <c r="E133" i="62" l="1"/>
  <c r="H133" i="62" s="1"/>
  <c r="M133" i="62" s="1"/>
  <c r="D134" i="62"/>
  <c r="I134" i="62" s="1"/>
  <c r="J134" i="62" s="1"/>
  <c r="E132" i="62" l="1"/>
  <c r="H132" i="62" s="1"/>
  <c r="M132" i="62" s="1"/>
  <c r="D133" i="62"/>
  <c r="I133" i="62" s="1"/>
  <c r="J133" i="62" s="1"/>
  <c r="E131" i="62" l="1"/>
  <c r="H131" i="62" s="1"/>
  <c r="M131" i="62" s="1"/>
  <c r="D132" i="62"/>
  <c r="I132" i="62" s="1"/>
  <c r="J132" i="62" s="1"/>
  <c r="E130" i="62" l="1"/>
  <c r="H130" i="62" s="1"/>
  <c r="M130" i="62" s="1"/>
  <c r="D131" i="62"/>
  <c r="I131" i="62" s="1"/>
  <c r="J131" i="62" s="1"/>
  <c r="E129" i="62" l="1"/>
  <c r="H129" i="62" s="1"/>
  <c r="M129" i="62" s="1"/>
  <c r="D130" i="62"/>
  <c r="I130" i="62" s="1"/>
  <c r="J130" i="62" s="1"/>
  <c r="E128" i="62" l="1"/>
  <c r="H128" i="62" s="1"/>
  <c r="M128" i="62" s="1"/>
  <c r="D129" i="62"/>
  <c r="I129" i="62" s="1"/>
  <c r="J129" i="62" s="1"/>
  <c r="E127" i="62" l="1"/>
  <c r="H127" i="62" s="1"/>
  <c r="M127" i="62" s="1"/>
  <c r="D128" i="62"/>
  <c r="I128" i="62" s="1"/>
  <c r="J128" i="62" s="1"/>
  <c r="E126" i="62" l="1"/>
  <c r="H126" i="62" s="1"/>
  <c r="M126" i="62" s="1"/>
  <c r="D127" i="62"/>
  <c r="I127" i="62" s="1"/>
  <c r="J127" i="62" s="1"/>
  <c r="E125" i="62" l="1"/>
  <c r="H125" i="62" s="1"/>
  <c r="M125" i="62" s="1"/>
  <c r="D126" i="62"/>
  <c r="I126" i="62" s="1"/>
  <c r="J126" i="62" s="1"/>
  <c r="E124" i="62" l="1"/>
  <c r="H124" i="62" s="1"/>
  <c r="M124" i="62" s="1"/>
  <c r="D125" i="62"/>
  <c r="I125" i="62" s="1"/>
  <c r="J125" i="62" s="1"/>
  <c r="E123" i="62" l="1"/>
  <c r="H123" i="62" s="1"/>
  <c r="M123" i="62" s="1"/>
  <c r="D124" i="62"/>
  <c r="I124" i="62" s="1"/>
  <c r="J124" i="62" s="1"/>
  <c r="E122" i="62" l="1"/>
  <c r="H122" i="62" s="1"/>
  <c r="M122" i="62" s="1"/>
  <c r="D123" i="62"/>
  <c r="I123" i="62" s="1"/>
  <c r="J123" i="62" s="1"/>
  <c r="E121" i="62" l="1"/>
  <c r="H121" i="62" s="1"/>
  <c r="M121" i="62" s="1"/>
  <c r="D122" i="62"/>
  <c r="I122" i="62" s="1"/>
  <c r="J122" i="62" s="1"/>
  <c r="D121" i="62" l="1"/>
  <c r="I121" i="62" s="1"/>
  <c r="J121" i="62" s="1"/>
  <c r="E120" i="62"/>
  <c r="H120" i="62" s="1"/>
  <c r="M120" i="62" s="1"/>
  <c r="E119" i="62" l="1"/>
  <c r="H119" i="62" s="1"/>
  <c r="M119" i="62" s="1"/>
  <c r="D120" i="62"/>
  <c r="I120" i="62" s="1"/>
  <c r="J120" i="62" s="1"/>
  <c r="E118" i="62" l="1"/>
  <c r="H118" i="62" s="1"/>
  <c r="M118" i="62" s="1"/>
  <c r="D119" i="62"/>
  <c r="I119" i="62" s="1"/>
  <c r="J119" i="62" s="1"/>
  <c r="E117" i="62" l="1"/>
  <c r="H117" i="62" s="1"/>
  <c r="M117" i="62" s="1"/>
  <c r="D118" i="62"/>
  <c r="I118" i="62" s="1"/>
  <c r="J118" i="62" s="1"/>
  <c r="E116" i="62" l="1"/>
  <c r="H116" i="62" s="1"/>
  <c r="M116" i="62" s="1"/>
  <c r="D117" i="62"/>
  <c r="I117" i="62" s="1"/>
  <c r="J117" i="62" s="1"/>
  <c r="E115" i="62" l="1"/>
  <c r="H115" i="62" s="1"/>
  <c r="M115" i="62" s="1"/>
  <c r="D116" i="62"/>
  <c r="I116" i="62" s="1"/>
  <c r="J116" i="62" s="1"/>
  <c r="E114" i="62" l="1"/>
  <c r="H114" i="62" s="1"/>
  <c r="M114" i="62" s="1"/>
  <c r="D115" i="62"/>
  <c r="I115" i="62" s="1"/>
  <c r="J115" i="62" s="1"/>
  <c r="E113" i="62" l="1"/>
  <c r="H113" i="62" s="1"/>
  <c r="M113" i="62" s="1"/>
  <c r="D114" i="62"/>
  <c r="I114" i="62" s="1"/>
  <c r="J114" i="62" s="1"/>
  <c r="E112" i="62" l="1"/>
  <c r="H112" i="62" s="1"/>
  <c r="M112" i="62" s="1"/>
  <c r="D113" i="62"/>
  <c r="I113" i="62" s="1"/>
  <c r="J113" i="62" s="1"/>
  <c r="E111" i="62" l="1"/>
  <c r="H111" i="62" s="1"/>
  <c r="M111" i="62" s="1"/>
  <c r="D112" i="62"/>
  <c r="I112" i="62" s="1"/>
  <c r="J112" i="62" s="1"/>
  <c r="E110" i="62" l="1"/>
  <c r="H110" i="62" s="1"/>
  <c r="M110" i="62" s="1"/>
  <c r="D111" i="62"/>
  <c r="I111" i="62" s="1"/>
  <c r="J111" i="62" s="1"/>
  <c r="E109" i="62" l="1"/>
  <c r="H109" i="62" s="1"/>
  <c r="M109" i="62" s="1"/>
  <c r="D110" i="62"/>
  <c r="I110" i="62" s="1"/>
  <c r="J110" i="62" s="1"/>
  <c r="E108" i="62" l="1"/>
  <c r="H108" i="62" s="1"/>
  <c r="M108" i="62" s="1"/>
  <c r="D109" i="62"/>
  <c r="I109" i="62" s="1"/>
  <c r="J109" i="62" s="1"/>
  <c r="E107" i="62" l="1"/>
  <c r="H107" i="62" s="1"/>
  <c r="M107" i="62" s="1"/>
  <c r="D108" i="62"/>
  <c r="I108" i="62" s="1"/>
  <c r="J108" i="62" s="1"/>
  <c r="E106" i="62" l="1"/>
  <c r="H106" i="62" s="1"/>
  <c r="M106" i="62" s="1"/>
  <c r="D107" i="62"/>
  <c r="I107" i="62" s="1"/>
  <c r="J107" i="62" s="1"/>
  <c r="E105" i="62" l="1"/>
  <c r="H105" i="62" s="1"/>
  <c r="M105" i="62" s="1"/>
  <c r="D106" i="62"/>
  <c r="I106" i="62" s="1"/>
  <c r="J106" i="62" s="1"/>
  <c r="E104" i="62" l="1"/>
  <c r="H104" i="62" s="1"/>
  <c r="M104" i="62" s="1"/>
  <c r="D105" i="62"/>
  <c r="I105" i="62" s="1"/>
  <c r="J105" i="62" s="1"/>
  <c r="E103" i="62" l="1"/>
  <c r="H103" i="62" s="1"/>
  <c r="M103" i="62" s="1"/>
  <c r="D104" i="62"/>
  <c r="I104" i="62" s="1"/>
  <c r="J104" i="62" s="1"/>
  <c r="E102" i="62" l="1"/>
  <c r="H102" i="62" s="1"/>
  <c r="M102" i="62" s="1"/>
  <c r="D103" i="62"/>
  <c r="I103" i="62" s="1"/>
  <c r="J103" i="62" s="1"/>
  <c r="E101" i="62" l="1"/>
  <c r="H101" i="62" s="1"/>
  <c r="M101" i="62" s="1"/>
  <c r="D102" i="62"/>
  <c r="I102" i="62" s="1"/>
  <c r="J102" i="62" s="1"/>
  <c r="E100" i="62" l="1"/>
  <c r="H100" i="62" s="1"/>
  <c r="M100" i="62" s="1"/>
  <c r="D101" i="62"/>
  <c r="I101" i="62" s="1"/>
  <c r="J101" i="62" s="1"/>
  <c r="E99" i="62" l="1"/>
  <c r="H99" i="62" s="1"/>
  <c r="M99" i="62" s="1"/>
  <c r="D100" i="62"/>
  <c r="I100" i="62" s="1"/>
  <c r="J100" i="62" s="1"/>
  <c r="E98" i="62" l="1"/>
  <c r="H98" i="62" s="1"/>
  <c r="M98" i="62" s="1"/>
  <c r="D99" i="62"/>
  <c r="I99" i="62" s="1"/>
  <c r="J99" i="62" s="1"/>
  <c r="E97" i="62" l="1"/>
  <c r="H97" i="62" s="1"/>
  <c r="M97" i="62" s="1"/>
  <c r="D98" i="62"/>
  <c r="I98" i="62" s="1"/>
  <c r="J98" i="62" s="1"/>
  <c r="E96" i="62" l="1"/>
  <c r="H96" i="62" s="1"/>
  <c r="M96" i="62" s="1"/>
  <c r="D97" i="62"/>
  <c r="I97" i="62" s="1"/>
  <c r="J97" i="62" s="1"/>
  <c r="E95" i="62" l="1"/>
  <c r="H95" i="62" s="1"/>
  <c r="M95" i="62" s="1"/>
  <c r="D96" i="62"/>
  <c r="I96" i="62" s="1"/>
  <c r="J96" i="62" s="1"/>
  <c r="E94" i="62" l="1"/>
  <c r="H94" i="62" s="1"/>
  <c r="M94" i="62" s="1"/>
  <c r="D95" i="62"/>
  <c r="I95" i="62" s="1"/>
  <c r="J95" i="62" s="1"/>
  <c r="E93" i="62" l="1"/>
  <c r="H93" i="62" s="1"/>
  <c r="M93" i="62" s="1"/>
  <c r="D94" i="62"/>
  <c r="I94" i="62" s="1"/>
  <c r="J94" i="62" s="1"/>
  <c r="E92" i="62" l="1"/>
  <c r="H92" i="62" s="1"/>
  <c r="M92" i="62" s="1"/>
  <c r="D93" i="62"/>
  <c r="I93" i="62" s="1"/>
  <c r="J93" i="62" s="1"/>
  <c r="E91" i="62" l="1"/>
  <c r="H91" i="62" s="1"/>
  <c r="M91" i="62" s="1"/>
  <c r="D92" i="62"/>
  <c r="I92" i="62" s="1"/>
  <c r="J92" i="62" s="1"/>
  <c r="E90" i="62" l="1"/>
  <c r="H90" i="62" s="1"/>
  <c r="M90" i="62" s="1"/>
  <c r="D91" i="62"/>
  <c r="I91" i="62" s="1"/>
  <c r="J91" i="62" s="1"/>
  <c r="E89" i="62" l="1"/>
  <c r="H89" i="62" s="1"/>
  <c r="M89" i="62" s="1"/>
  <c r="D90" i="62"/>
  <c r="I90" i="62" s="1"/>
  <c r="J90" i="62" s="1"/>
  <c r="E88" i="62" l="1"/>
  <c r="H88" i="62" s="1"/>
  <c r="M88" i="62" s="1"/>
  <c r="D89" i="62"/>
  <c r="I89" i="62" s="1"/>
  <c r="J89" i="62" s="1"/>
  <c r="D88" i="62" l="1"/>
  <c r="I88" i="62" s="1"/>
  <c r="J88" i="62" s="1"/>
  <c r="E87" i="62"/>
  <c r="H87" i="62" s="1"/>
  <c r="M87" i="62" s="1"/>
  <c r="E86" i="62" l="1"/>
  <c r="H86" i="62" s="1"/>
  <c r="M86" i="62" s="1"/>
  <c r="D87" i="62"/>
  <c r="I87" i="62" s="1"/>
  <c r="J87" i="62" s="1"/>
  <c r="E85" i="62" l="1"/>
  <c r="H85" i="62" s="1"/>
  <c r="M85" i="62" s="1"/>
  <c r="D86" i="62"/>
  <c r="I86" i="62" s="1"/>
  <c r="J86" i="62" s="1"/>
  <c r="E84" i="62" l="1"/>
  <c r="H84" i="62" s="1"/>
  <c r="M84" i="62" s="1"/>
  <c r="D85" i="62"/>
  <c r="I85" i="62" s="1"/>
  <c r="J85" i="62" s="1"/>
  <c r="E83" i="62" l="1"/>
  <c r="H83" i="62" s="1"/>
  <c r="M83" i="62" s="1"/>
  <c r="D84" i="62"/>
  <c r="I84" i="62" s="1"/>
  <c r="J84" i="62" s="1"/>
  <c r="E82" i="62" l="1"/>
  <c r="H82" i="62" s="1"/>
  <c r="M82" i="62" s="1"/>
  <c r="D83" i="62"/>
  <c r="I83" i="62" s="1"/>
  <c r="J83" i="62" s="1"/>
  <c r="E81" i="62" l="1"/>
  <c r="H81" i="62" s="1"/>
  <c r="M81" i="62" s="1"/>
  <c r="D82" i="62"/>
  <c r="I82" i="62" s="1"/>
  <c r="J82" i="62" s="1"/>
  <c r="E80" i="62" l="1"/>
  <c r="H80" i="62" s="1"/>
  <c r="M80" i="62" s="1"/>
  <c r="D81" i="62"/>
  <c r="I81" i="62" s="1"/>
  <c r="J81" i="62" s="1"/>
  <c r="E79" i="62" l="1"/>
  <c r="H79" i="62" s="1"/>
  <c r="M79" i="62" s="1"/>
  <c r="D80" i="62"/>
  <c r="I80" i="62" s="1"/>
  <c r="J80" i="62" s="1"/>
  <c r="E78" i="62" l="1"/>
  <c r="H78" i="62" s="1"/>
  <c r="M78" i="62" s="1"/>
  <c r="D79" i="62"/>
  <c r="I79" i="62" s="1"/>
  <c r="J79" i="62" s="1"/>
  <c r="E77" i="62" l="1"/>
  <c r="H77" i="62" s="1"/>
  <c r="M77" i="62" s="1"/>
  <c r="D78" i="62"/>
  <c r="I78" i="62" s="1"/>
  <c r="J78" i="62" s="1"/>
  <c r="E76" i="62" l="1"/>
  <c r="H76" i="62" s="1"/>
  <c r="M76" i="62" s="1"/>
  <c r="D77" i="62"/>
  <c r="I77" i="62" s="1"/>
  <c r="J77" i="62" s="1"/>
  <c r="D76" i="62" l="1"/>
  <c r="I76" i="62" s="1"/>
  <c r="J76" i="62" s="1"/>
  <c r="E75" i="62"/>
  <c r="H75" i="62" s="1"/>
  <c r="M75" i="62" s="1"/>
  <c r="E74" i="62" l="1"/>
  <c r="H74" i="62" s="1"/>
  <c r="M74" i="62" s="1"/>
  <c r="D75" i="62"/>
  <c r="I75" i="62" s="1"/>
  <c r="J75" i="62" s="1"/>
  <c r="D74" i="62" l="1"/>
  <c r="I74" i="62" s="1"/>
  <c r="J74" i="62" s="1"/>
  <c r="E73" i="62"/>
  <c r="H73" i="62" s="1"/>
  <c r="M73" i="62" s="1"/>
  <c r="E72" i="62" l="1"/>
  <c r="H72" i="62" s="1"/>
  <c r="M72" i="62" s="1"/>
  <c r="D73" i="62"/>
  <c r="I73" i="62" s="1"/>
  <c r="J73" i="62" s="1"/>
  <c r="E71" i="62" l="1"/>
  <c r="H71" i="62" s="1"/>
  <c r="D72" i="62"/>
  <c r="I72" i="62" s="1"/>
  <c r="J72" i="62" s="1"/>
  <c r="M71" i="62" l="1"/>
  <c r="E70" i="62"/>
  <c r="H70" i="62" s="1"/>
  <c r="M70" i="62" s="1"/>
  <c r="D71" i="62"/>
  <c r="I71" i="62" s="1"/>
  <c r="J71" i="62" s="1"/>
  <c r="E69" i="62" l="1"/>
  <c r="H69" i="62" s="1"/>
  <c r="D70" i="62"/>
  <c r="I70" i="62" s="1"/>
  <c r="J70" i="62" s="1"/>
  <c r="M69" i="62" l="1"/>
  <c r="M327" i="62" s="1"/>
  <c r="D69" i="62"/>
  <c r="I69" i="62" s="1"/>
  <c r="I327" i="62" s="1"/>
  <c r="J69" i="62" l="1"/>
  <c r="J327" i="62" s="1"/>
  <c r="D327" i="6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Arturo Azcorra</author>
  </authors>
  <commentList>
    <comment ref="M5" authorId="0" shapeId="0" xr:uid="{72318BFE-19C6-442E-BDB7-382E3EF391AF}">
      <text>
        <r>
          <rPr>
            <sz val="9"/>
            <color indexed="81"/>
            <rFont val="Tahoma"/>
            <family val="2"/>
          </rPr>
          <t xml:space="preserve">These values are produced under the assumption that the 14 symbol intervals in the slot are used for this. Notice that it is possible to use 1 to 3 symbol intervals per subframe for control and between 11 to 13 symbols for subframe for data.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Arturo</author>
  </authors>
  <commentList>
    <comment ref="I8" authorId="0" shapeId="0" xr:uid="{FBB15D68-C3AF-422F-91E4-2B3DF2685E23}">
      <text>
        <r>
          <rPr>
            <b/>
            <sz val="9"/>
            <color indexed="81"/>
            <rFont val="Tahoma"/>
            <family val="2"/>
          </rPr>
          <t>This is for interlace only, and for the case of 2 interlaces. If no interlace, this is 16.</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Arturo</author>
  </authors>
  <commentList>
    <comment ref="D3" authorId="0" shapeId="0" xr:uid="{A9F3F95D-0E03-4BEA-AFD0-EE1C9754A29B}">
      <text>
        <r>
          <rPr>
            <sz val="9"/>
            <color indexed="81"/>
            <rFont val="Tahoma"/>
            <family val="2"/>
          </rPr>
          <t>A Psymbol is a PRACH Symbol, also called "sequence" in other environments.</t>
        </r>
      </text>
    </comment>
    <comment ref="E3" authorId="0" shapeId="0" xr:uid="{79F803D9-0750-47A1-B07B-712F784C8276}">
      <text>
        <r>
          <rPr>
            <sz val="9"/>
            <color indexed="81"/>
            <rFont val="Tahoma"/>
            <family val="2"/>
          </rPr>
          <t>A Psymbol is a PRACH Symbol, also called "sequence" in other environments.</t>
        </r>
      </text>
    </comment>
  </commentList>
</comments>
</file>

<file path=xl/sharedStrings.xml><?xml version="1.0" encoding="utf-8"?>
<sst xmlns="http://schemas.openxmlformats.org/spreadsheetml/2006/main" count="1856" uniqueCount="601">
  <si>
    <t>N/A</t>
  </si>
  <si>
    <t>256 QAM</t>
  </si>
  <si>
    <t>64 QAM</t>
  </si>
  <si>
    <t>16 QAM</t>
  </si>
  <si>
    <t>QPSK</t>
  </si>
  <si>
    <t>5G</t>
  </si>
  <si>
    <t>Subframe</t>
  </si>
  <si>
    <t>LTE</t>
  </si>
  <si>
    <t>Bits/Symbol</t>
  </si>
  <si>
    <t>Symbol</t>
  </si>
  <si>
    <t>Detailed Formula in:</t>
  </si>
  <si>
    <t>https://5g-tools.com/5g-nr-throughput-calculator/</t>
  </si>
  <si>
    <t xml:space="preserve"> SCS of 240 KHz cannot be used for data (only for synchronization block)</t>
  </si>
  <si>
    <t>Duration of 1 symbol
(µs)</t>
  </si>
  <si>
    <t>Maximum cell size as a function of SCS</t>
  </si>
  <si>
    <t>1024QAM</t>
  </si>
  <si>
    <t>5G (1 Channel)</t>
  </si>
  <si>
    <t>64QAM</t>
  </si>
  <si>
    <t>LTE (1 Channel)</t>
  </si>
  <si>
    <t>16QAM</t>
  </si>
  <si>
    <t>MIMO Streams</t>
  </si>
  <si>
    <t>Modulation</t>
  </si>
  <si>
    <t>Symbols per Slot/Subfr</t>
  </si>
  <si>
    <t>Slot/Subframe Size =   Carriers * Symbols * Bits/symbol</t>
  </si>
  <si>
    <t>Each Transport Block is placed in a Resource Allocation Block</t>
  </si>
  <si>
    <t>Taken from TS 36.214</t>
  </si>
  <si>
    <t>Bytes</t>
  </si>
  <si>
    <t>Code Block CRC Size</t>
  </si>
  <si>
    <t>Taken from TS 36.213</t>
  </si>
  <si>
    <t>Maximum Code Block Size (Z)</t>
  </si>
  <si>
    <t>Taken from TS 36.212</t>
  </si>
  <si>
    <t>bits</t>
  </si>
  <si>
    <t>Minimum Transport Block Size</t>
  </si>
  <si>
    <t>Maximum Transport Block Size</t>
  </si>
  <si>
    <t>Protocol Data Units</t>
  </si>
  <si>
    <t>Max number of channel subcarriers</t>
  </si>
  <si>
    <t>SSB Subcarriers</t>
  </si>
  <si>
    <t xml:space="preserve"> SCS of 240 KHz is only for SSB (cannot be used for data)</t>
  </si>
  <si>
    <t>In TDD, the available time to change DL to UL or UL to DL is the Guard Period.</t>
  </si>
  <si>
    <t>The time required to do a transition change is the propagation delay, plus the maximum among  modem spin-time at both endopoints.</t>
  </si>
  <si>
    <t>This implies that GP duration implies a limit on the cell radius (i.e. the distance from the base station to the terminal)</t>
  </si>
  <si>
    <t>Guard Period
(symbols)</t>
  </si>
  <si>
    <t>The modem spin-time in the table is a GUESS that I have made.</t>
  </si>
  <si>
    <t>In the following table, you see the max. Cell radius for some values of GP.</t>
  </si>
  <si>
    <t>Modem spin-time
(µs)</t>
  </si>
  <si>
    <t>A1</t>
  </si>
  <si>
    <t>SCS
 (kHz)</t>
  </si>
  <si>
    <t>Maximum cell radius
(km)</t>
  </si>
  <si>
    <t>FR1</t>
  </si>
  <si>
    <t>FR2</t>
  </si>
  <si>
    <t>Tc</t>
  </si>
  <si>
    <t>Basic time unit in 5G and LTE</t>
  </si>
  <si>
    <t>Ts</t>
  </si>
  <si>
    <t>Ts/Tc</t>
  </si>
  <si>
    <t>TS 38.211 V17.4.0</t>
  </si>
  <si>
    <t>TS 36.211 V17.3.0</t>
  </si>
  <si>
    <t>SCS of 240 kHz can only be used for the Synchronization Signal Block.</t>
  </si>
  <si>
    <t>secs</t>
  </si>
  <si>
    <t>Preamble Formats</t>
  </si>
  <si>
    <t>0, 1, 2</t>
  </si>
  <si>
    <t>A1, A2, A3, B1, B2, B3, B4, C0, C2</t>
  </si>
  <si>
    <t>A2</t>
  </si>
  <si>
    <t>A3</t>
  </si>
  <si>
    <t>Format=&gt;</t>
  </si>
  <si>
    <t>B1</t>
  </si>
  <si>
    <t>B2</t>
  </si>
  <si>
    <t>B3</t>
  </si>
  <si>
    <t>B4</t>
  </si>
  <si>
    <t>C0</t>
  </si>
  <si>
    <t>C2</t>
  </si>
  <si>
    <t>k</t>
  </si>
  <si>
    <t>SCS
[kHz]</t>
  </si>
  <si>
    <t>Repetions =&gt;</t>
  </si>
  <si>
    <t>ns</t>
  </si>
  <si>
    <t>ps</t>
  </si>
  <si>
    <t>ms</t>
  </si>
  <si>
    <t>CP Min. len=&gt;
[Ts]</t>
  </si>
  <si>
    <t>µ</t>
  </si>
  <si>
    <t>Total Duration of Preamble (Cyclic Prefix plus "n" repetitions) [µs]</t>
  </si>
  <si>
    <t>µs</t>
  </si>
  <si>
    <t>Duration of the Cyclic Prefix of the Preamble [µs]</t>
  </si>
  <si>
    <t>The information on the Guard Periods is from a slide-set from Key Sight (Javier Ramos)</t>
  </si>
  <si>
    <t>Duration of the Guard Period after the Preamble [µs]</t>
  </si>
  <si>
    <t>Total Duration of Preamble plus Guard Period [µs]</t>
  </si>
  <si>
    <t>Value
[secs]</t>
  </si>
  <si>
    <t>Value
[ms]</t>
  </si>
  <si>
    <t>Value
[ps]</t>
  </si>
  <si>
    <t>Duration
[µs]</t>
  </si>
  <si>
    <t>Value
[µs]</t>
  </si>
  <si>
    <t>ssb</t>
  </si>
  <si>
    <t>PSS</t>
  </si>
  <si>
    <t>Subcarriers</t>
  </si>
  <si>
    <t>SSS</t>
  </si>
  <si>
    <t>SSB</t>
  </si>
  <si>
    <t>PBCH Upper</t>
  </si>
  <si>
    <t>PBCH Lower</t>
  </si>
  <si>
    <t>PBCH Total</t>
  </si>
  <si>
    <t>Center SC
(or next above midle)</t>
  </si>
  <si>
    <t>From SC
(inc)</t>
  </si>
  <si>
    <t>To SC
(inc)</t>
  </si>
  <si>
    <t>Number of SCs</t>
  </si>
  <si>
    <t>Center frequency</t>
  </si>
  <si>
    <t>SCS Data 
 [KHz]</t>
  </si>
  <si>
    <t>SCS of SSB
[kHz]</t>
  </si>
  <si>
    <r>
      <t>Duration 1 PSymbol [</t>
    </r>
    <r>
      <rPr>
        <b/>
        <sz val="11"/>
        <color theme="1"/>
        <rFont val="Symbol"/>
        <family val="1"/>
        <charset val="2"/>
      </rPr>
      <t>m</t>
    </r>
    <r>
      <rPr>
        <b/>
        <sz val="11"/>
        <color theme="1"/>
        <rFont val="Calibri"/>
        <family val="2"/>
        <scheme val="minor"/>
      </rPr>
      <t>s]</t>
    </r>
  </si>
  <si>
    <t>Duration 1 PSymbol
[Ts]</t>
  </si>
  <si>
    <t>Duration 1 PSymbol [15kHz symb]</t>
  </si>
  <si>
    <t>Duration 1 PSymbol [Pixels]</t>
  </si>
  <si>
    <t>GP Min. len=&gt;
[Ts]</t>
  </si>
  <si>
    <t>Cyclic Prefix [Pixels]</t>
  </si>
  <si>
    <t>Guard Period
[Pixels]</t>
  </si>
  <si>
    <t>1 kHz symbol [Pixels]</t>
  </si>
  <si>
    <t>1 PRACH Symbol [Pixels]</t>
  </si>
  <si>
    <t>THE FOLLOWING IS FOR THE PICTURE, Asuming 15kHz SCS for short sequence formats</t>
  </si>
  <si>
    <t>Value of subcarrier index "K" for Configuration Type 1</t>
  </si>
  <si>
    <t>n</t>
  </si>
  <si>
    <t>k'</t>
  </si>
  <si>
    <t>Δ</t>
  </si>
  <si>
    <r>
      <t xml:space="preserve">k = 4n + 2k' + </t>
    </r>
    <r>
      <rPr>
        <b/>
        <sz val="11"/>
        <color theme="1"/>
        <rFont val="Calibri"/>
        <family val="2"/>
      </rPr>
      <t>Δ</t>
    </r>
  </si>
  <si>
    <t>Value of subcarrier index "K" for Configuration Type 2</t>
  </si>
  <si>
    <r>
      <t xml:space="preserve">k = 6n + k' + </t>
    </r>
    <r>
      <rPr>
        <b/>
        <sz val="11"/>
        <color theme="1"/>
        <rFont val="Calibri"/>
        <family val="2"/>
      </rPr>
      <t>Δ</t>
    </r>
  </si>
  <si>
    <t>f(j)</t>
  </si>
  <si>
    <t>c = (j-r)/2</t>
  </si>
  <si>
    <t>r</t>
  </si>
  <si>
    <t>j</t>
  </si>
  <si>
    <t>C =</t>
  </si>
  <si>
    <t>Nbundle =</t>
  </si>
  <si>
    <t>Formula to perform PDSCH VRBB-to-PRBB mapping (section 7.3.1.5 from TS 28.211)</t>
  </si>
  <si>
    <t>[Tc]</t>
  </si>
  <si>
    <t>SCP+16κ
[Tc]</t>
  </si>
  <si>
    <t>Normal CP (NCP)</t>
  </si>
  <si>
    <t>Extended CP
(ECP)</t>
  </si>
  <si>
    <t>Short CP (SCP)</t>
  </si>
  <si>
    <t>Long CP (LCP)</t>
  </si>
  <si>
    <t>κ</t>
  </si>
  <si>
    <t>Value
[ns]</t>
  </si>
  <si>
    <t>Max SCS
[Hz]</t>
  </si>
  <si>
    <t>Max FFT
Size</t>
  </si>
  <si>
    <t>Sym. rate [kBaud]</t>
  </si>
  <si>
    <t>All slots have the same duration</t>
  </si>
  <si>
    <t>Not all slots have the same duration</t>
  </si>
  <si>
    <t>1,024 QAM</t>
  </si>
  <si>
    <t>60 (nor.)</t>
  </si>
  <si>
    <t>2 (nor.)</t>
  </si>
  <si>
    <t>60 (ext.)</t>
  </si>
  <si>
    <t>2 (ext.)</t>
  </si>
  <si>
    <t>Subcarrier symbol rate
[kBaud]</t>
  </si>
  <si>
    <t>Symbol rate for 960 kHz
[kBaud]</t>
  </si>
  <si>
    <t>Slot
(average)</t>
  </si>
  <si>
    <t>Duration of the "n" PSymbol repetitions [µs]</t>
  </si>
  <si>
    <t>15 kHz symbol interval</t>
  </si>
  <si>
    <t>[ms]</t>
  </si>
  <si>
    <t>[µs]</t>
  </si>
  <si>
    <t>Short CP</t>
  </si>
  <si>
    <t>Average</t>
  </si>
  <si>
    <t>Duration of the "n" PSymbol repetitions [15kHz average symbol intervals]</t>
  </si>
  <si>
    <t>Duration of the Cyclic Prefix of the Preamble [15kHz average symbol intervals]</t>
  </si>
  <si>
    <t>Total Duration of Preamble (Cyclic Prefix plus "n" repetitions) [15kHz average symbol intervals]</t>
  </si>
  <si>
    <t>Duration of the Guard Period after the Preamble [15kHz  average symbol intervals]</t>
  </si>
  <si>
    <t>Total Duration of Preamble plus Guard Period
 (for long sequence in [subframes], for short sequence in its own [short CP symbol intervals])</t>
  </si>
  <si>
    <t>ç</t>
  </si>
  <si>
    <t>Total Duration of Preamble plus Guard Period
 (for long sequence in [average 15 kHz symbol intervals], for short sequence in [15 kHz short CP symbol intervals])</t>
  </si>
  <si>
    <t>FR1-2</t>
  </si>
  <si>
    <t>FR1-1</t>
  </si>
  <si>
    <r>
      <t>Range of</t>
    </r>
    <r>
      <rPr>
        <b/>
        <i/>
        <sz val="11"/>
        <color rgb="FF000000"/>
        <rFont val="Times New Roman"/>
        <family val="1"/>
      </rPr>
      <t xml:space="preserve"> F</t>
    </r>
    <r>
      <rPr>
        <b/>
        <i/>
        <vertAlign val="subscript"/>
        <sz val="11"/>
        <color rgb="FF000000"/>
        <rFont val="Times New Roman"/>
        <family val="1"/>
      </rPr>
      <t xml:space="preserve">REF,s
</t>
    </r>
    <r>
      <rPr>
        <b/>
        <sz val="11"/>
        <color rgb="FF000000"/>
        <rFont val="Times New Roman"/>
        <family val="1"/>
      </rPr>
      <t>[MHz]</t>
    </r>
  </si>
  <si>
    <r>
      <t>Range of</t>
    </r>
    <r>
      <rPr>
        <b/>
        <i/>
        <sz val="11"/>
        <color rgb="FF000000"/>
        <rFont val="Times New Roman"/>
        <family val="1"/>
      </rPr>
      <t xml:space="preserve"> N</t>
    </r>
    <r>
      <rPr>
        <b/>
        <i/>
        <vertAlign val="subscript"/>
        <sz val="11"/>
        <color rgb="FF000000"/>
        <rFont val="Times New Roman"/>
        <family val="1"/>
      </rPr>
      <t>REF,s</t>
    </r>
  </si>
  <si>
    <r>
      <t>N</t>
    </r>
    <r>
      <rPr>
        <b/>
        <i/>
        <vertAlign val="subscript"/>
        <sz val="11"/>
        <color rgb="FF000000"/>
        <rFont val="Times New Roman"/>
        <family val="1"/>
      </rPr>
      <t>REF-Offs,s</t>
    </r>
  </si>
  <si>
    <r>
      <t>F</t>
    </r>
    <r>
      <rPr>
        <b/>
        <i/>
        <vertAlign val="subscript"/>
        <sz val="11"/>
        <color rgb="FF000000"/>
        <rFont val="Times New Roman"/>
        <family val="1"/>
      </rPr>
      <t xml:space="preserve">REF-Offs,s
</t>
    </r>
    <r>
      <rPr>
        <b/>
        <sz val="11"/>
        <color rgb="FF000000"/>
        <rFont val="Times New Roman"/>
        <family val="1"/>
      </rPr>
      <t>[MHz]</t>
    </r>
  </si>
  <si>
    <r>
      <t>ΔF</t>
    </r>
    <r>
      <rPr>
        <b/>
        <i/>
        <vertAlign val="subscript"/>
        <sz val="11"/>
        <color rgb="FF000000"/>
        <rFont val="Times New Roman"/>
        <family val="1"/>
      </rPr>
      <t xml:space="preserve">Global,s
</t>
    </r>
    <r>
      <rPr>
        <b/>
        <sz val="11"/>
        <color rgb="FF000000"/>
        <rFont val="Times New Roman"/>
        <family val="1"/>
      </rPr>
      <t>[kHz]</t>
    </r>
  </si>
  <si>
    <t>s</t>
  </si>
  <si>
    <t>Global Frequency Raster</t>
  </si>
  <si>
    <t xml:space="preserve"> band upp edge</t>
  </si>
  <si>
    <t>ch. upp edge</t>
  </si>
  <si>
    <t>…</t>
  </si>
  <si>
    <t>ch. low edge</t>
  </si>
  <si>
    <t xml:space="preserve"> band low edge</t>
  </si>
  <si>
    <t>Channel spacing [MHz]</t>
  </si>
  <si>
    <t>Channel reference frequency [MHz]</t>
  </si>
  <si>
    <t>ARFCN
(Nref)</t>
  </si>
  <si>
    <t>N</t>
  </si>
  <si>
    <t>step-size</t>
  </si>
  <si>
    <t>Initial Nref</t>
  </si>
  <si>
    <t>Channel bandwidth [MHz]</t>
  </si>
  <si>
    <t>kHz</t>
  </si>
  <si>
    <t>Deltaglobal</t>
  </si>
  <si>
    <t>Nref offset</t>
  </si>
  <si>
    <t>MHz</t>
  </si>
  <si>
    <t>Fref offset</t>
  </si>
  <si>
    <t>Data from Global sheet</t>
  </si>
  <si>
    <t>Channel frequency raster for band n263</t>
  </si>
  <si>
    <t>Channel frequency raster for bands with an explicit list of ARFCNs</t>
  </si>
  <si>
    <t>These bands are: n46, n96 and n102</t>
  </si>
  <si>
    <t>10 MHz</t>
  </si>
  <si>
    <t>20 MHz</t>
  </si>
  <si>
    <t>40 MHz</t>
  </si>
  <si>
    <t>60 MHz</t>
  </si>
  <si>
    <t>80 MHz</t>
  </si>
  <si>
    <t>100 MHz</t>
  </si>
  <si>
    <t>Channel bandwidth</t>
  </si>
  <si>
    <t>NR-ARFCN</t>
  </si>
  <si>
    <t>NR-ARFCN spacing</t>
  </si>
  <si>
    <t>List of NR-ARFCNs for band n46</t>
  </si>
  <si>
    <t>Channel locations are NOT EVENLY SPACED, not even within a given channel banwidth.</t>
  </si>
  <si>
    <t>Frequency segment
[MHz]</t>
  </si>
  <si>
    <t>Included FR</t>
  </si>
  <si>
    <t>Global SYNCHRONIZATION Raster</t>
  </si>
  <si>
    <t>Ns</t>
  </si>
  <si>
    <t>Ms</t>
  </si>
  <si>
    <t>1, 3, 5</t>
  </si>
  <si>
    <r>
      <t xml:space="preserve">7,499 + </t>
    </r>
    <r>
      <rPr>
        <b/>
        <i/>
        <sz val="11"/>
        <color rgb="FF000000"/>
        <rFont val="Times New Roman"/>
        <family val="1"/>
      </rPr>
      <t>N</t>
    </r>
    <r>
      <rPr>
        <b/>
        <i/>
        <vertAlign val="subscript"/>
        <sz val="11"/>
        <color rgb="FF000000"/>
        <rFont val="Times New Roman"/>
        <family val="1"/>
      </rPr>
      <t>s</t>
    </r>
  </si>
  <si>
    <r>
      <t xml:space="preserve">24,250.08 MHz + </t>
    </r>
    <r>
      <rPr>
        <b/>
        <i/>
        <sz val="11"/>
        <color rgb="FF000000"/>
        <rFont val="Times New Roman"/>
        <family val="1"/>
      </rPr>
      <t>N</t>
    </r>
    <r>
      <rPr>
        <b/>
        <i/>
        <vertAlign val="subscript"/>
        <sz val="11"/>
        <color rgb="FF000000"/>
        <rFont val="Times New Roman"/>
        <family val="1"/>
      </rPr>
      <t>s</t>
    </r>
    <r>
      <rPr>
        <sz val="11"/>
        <color rgb="FF000000"/>
        <rFont val="Times New Roman"/>
        <family val="1"/>
      </rPr>
      <t xml:space="preserve"> * 17.28 MHz</t>
    </r>
  </si>
  <si>
    <r>
      <t xml:space="preserve">22,256 + </t>
    </r>
    <r>
      <rPr>
        <b/>
        <i/>
        <sz val="11"/>
        <color rgb="FF000000"/>
        <rFont val="Times New Roman"/>
        <family val="1"/>
      </rPr>
      <t>N</t>
    </r>
    <r>
      <rPr>
        <b/>
        <i/>
        <vertAlign val="subscript"/>
        <sz val="11"/>
        <color rgb="FF000000"/>
        <rFont val="Times New Roman"/>
        <family val="1"/>
      </rPr>
      <t>s</t>
    </r>
  </si>
  <si>
    <r>
      <t>N</t>
    </r>
    <r>
      <rPr>
        <b/>
        <i/>
        <vertAlign val="subscript"/>
        <sz val="11"/>
        <color rgb="FF000000"/>
        <rFont val="Times New Roman"/>
        <family val="1"/>
      </rPr>
      <t>s</t>
    </r>
    <r>
      <rPr>
        <sz val="11"/>
        <color rgb="FF000000"/>
        <rFont val="Times New Roman"/>
        <family val="1"/>
      </rPr>
      <t xml:space="preserve"> * 1,200 kHz +</t>
    </r>
    <r>
      <rPr>
        <b/>
        <i/>
        <sz val="11"/>
        <color rgb="FF000000"/>
        <rFont val="Times New Roman"/>
        <family val="1"/>
      </rPr>
      <t xml:space="preserve"> Ms * 50 kHz</t>
    </r>
  </si>
  <si>
    <t>3,000 MHz + 
Ns * 1.44 MHz</t>
  </si>
  <si>
    <r>
      <t>3</t>
    </r>
    <r>
      <rPr>
        <b/>
        <i/>
        <sz val="11"/>
        <color rgb="FF000000"/>
        <rFont val="Times New Roman"/>
        <family val="1"/>
      </rPr>
      <t>N</t>
    </r>
    <r>
      <rPr>
        <b/>
        <i/>
        <vertAlign val="subscript"/>
        <sz val="11"/>
        <color rgb="FF000000"/>
        <rFont val="Times New Roman"/>
        <family val="1"/>
      </rPr>
      <t>s</t>
    </r>
    <r>
      <rPr>
        <sz val="11"/>
        <color rgb="FF000000"/>
        <rFont val="Times New Roman"/>
        <family val="1"/>
      </rPr>
      <t xml:space="preserve"> +
 (</t>
    </r>
    <r>
      <rPr>
        <b/>
        <i/>
        <sz val="11"/>
        <color rgb="FF000000"/>
        <rFont val="Times New Roman"/>
        <family val="1"/>
      </rPr>
      <t>Ms</t>
    </r>
    <r>
      <rPr>
        <sz val="11"/>
        <color rgb="FF000000"/>
        <rFont val="Times New Roman"/>
        <family val="1"/>
      </rPr>
      <t>-3)/2</t>
    </r>
  </si>
  <si>
    <t>GSCNs</t>
  </si>
  <si>
    <r>
      <rPr>
        <b/>
        <sz val="11"/>
        <color rgb="FF000000"/>
        <rFont val="Times New Roman"/>
        <family val="1"/>
      </rPr>
      <t>Range of</t>
    </r>
    <r>
      <rPr>
        <b/>
        <i/>
        <sz val="11"/>
        <color rgb="FF000000"/>
        <rFont val="Times New Roman"/>
        <family val="1"/>
      </rPr>
      <t xml:space="preserve"> GSCNs</t>
    </r>
  </si>
  <si>
    <r>
      <t>SS</t>
    </r>
    <r>
      <rPr>
        <b/>
        <i/>
        <vertAlign val="subscript"/>
        <sz val="11"/>
        <color rgb="FF000000"/>
        <rFont val="Times New Roman"/>
        <family val="1"/>
      </rPr>
      <t>REF,s</t>
    </r>
    <r>
      <rPr>
        <b/>
        <i/>
        <sz val="11"/>
        <color rgb="FF000000"/>
        <rFont val="Times New Roman"/>
        <family val="1"/>
      </rPr>
      <t xml:space="preserve">
</t>
    </r>
    <r>
      <rPr>
        <b/>
        <sz val="11"/>
        <color rgb="FF000000"/>
        <rFont val="Times New Roman"/>
        <family val="1"/>
      </rPr>
      <t>[MHz]</t>
    </r>
  </si>
  <si>
    <r>
      <rPr>
        <b/>
        <sz val="11"/>
        <color rgb="FF000000"/>
        <rFont val="Times New Roman"/>
        <family val="1"/>
      </rPr>
      <t>Range of</t>
    </r>
    <r>
      <rPr>
        <b/>
        <i/>
        <sz val="11"/>
        <color rgb="FF000000"/>
        <rFont val="Times New Roman"/>
        <family val="1"/>
      </rPr>
      <t xml:space="preserve"> SS</t>
    </r>
    <r>
      <rPr>
        <b/>
        <i/>
        <vertAlign val="subscript"/>
        <sz val="11"/>
        <color rgb="FF000000"/>
        <rFont val="Times New Roman"/>
        <family val="1"/>
      </rPr>
      <t>REF,s</t>
    </r>
    <r>
      <rPr>
        <b/>
        <i/>
        <sz val="11"/>
        <color rgb="FF000000"/>
        <rFont val="Times New Roman"/>
        <family val="1"/>
      </rPr>
      <t xml:space="preserve">
</t>
    </r>
    <r>
      <rPr>
        <b/>
        <sz val="11"/>
        <color rgb="FF000000"/>
        <rFont val="Times New Roman"/>
        <family val="1"/>
      </rPr>
      <t>[MHz]</t>
    </r>
  </si>
  <si>
    <t>This row show be deleted in the book</t>
  </si>
  <si>
    <t>5G: Symbol, Cyclic Prefix and slot duration (in Ts and µseconds)</t>
  </si>
  <si>
    <t>Normal-short CP (SCP)</t>
  </si>
  <si>
    <t>Normal-long CP (LCP)</t>
  </si>
  <si>
    <t>Extended CP (ECP)</t>
  </si>
  <si>
    <t>NA</t>
  </si>
  <si>
    <t>Normal-average</t>
  </si>
  <si>
    <t>Duration [Tc]</t>
  </si>
  <si>
    <t>Error [%]</t>
  </si>
  <si>
    <t>Subframe duration</t>
  </si>
  <si>
    <t>Slot duration</t>
  </si>
  <si>
    <t>2 LCP symbols</t>
  </si>
  <si>
    <t>1 LCP symbol</t>
  </si>
  <si>
    <t>0 LCP symbols</t>
  </si>
  <si>
    <t>12 ECP symbols</t>
  </si>
  <si>
    <t>5G: Symbol interval duration</t>
  </si>
  <si>
    <t>Symbol interval duration</t>
  </si>
  <si>
    <t>5G: Slot  duration</t>
  </si>
  <si>
    <t>Freq.
Range</t>
  </si>
  <si>
    <r>
      <t>LCP +
(2</t>
    </r>
    <r>
      <rPr>
        <b/>
        <vertAlign val="superscript"/>
        <sz val="10"/>
        <color theme="1"/>
        <rFont val="Times New Roman"/>
        <family val="1"/>
      </rPr>
      <t>-μ</t>
    </r>
    <r>
      <rPr>
        <b/>
        <sz val="10"/>
        <color theme="1"/>
        <rFont val="Times New Roman"/>
        <family val="1"/>
      </rPr>
      <t>-1)*SCP
[Tc]</t>
    </r>
  </si>
  <si>
    <r>
      <t>2,048κ*2</t>
    </r>
    <r>
      <rPr>
        <b/>
        <vertAlign val="superscript"/>
        <sz val="10"/>
        <color theme="1"/>
        <rFont val="Times New Roman"/>
        <family val="1"/>
      </rPr>
      <t>-μ</t>
    </r>
    <r>
      <rPr>
        <b/>
        <sz val="10"/>
        <color theme="1"/>
        <rFont val="Times New Roman"/>
        <family val="1"/>
      </rPr>
      <t xml:space="preserve">
[Tc]</t>
    </r>
  </si>
  <si>
    <r>
      <t>[</t>
    </r>
    <r>
      <rPr>
        <b/>
        <sz val="10"/>
        <color theme="1"/>
        <rFont val="Times New Roman"/>
        <family val="1"/>
      </rPr>
      <t>µs]</t>
    </r>
  </si>
  <si>
    <r>
      <t>144κ*2</t>
    </r>
    <r>
      <rPr>
        <b/>
        <vertAlign val="superscript"/>
        <sz val="10"/>
        <color theme="1"/>
        <rFont val="Times New Roman"/>
        <family val="1"/>
      </rPr>
      <t>-μ</t>
    </r>
    <r>
      <rPr>
        <b/>
        <sz val="10"/>
        <color theme="1"/>
        <rFont val="Times New Roman"/>
        <family val="1"/>
      </rPr>
      <t xml:space="preserve">
[Tc]</t>
    </r>
  </si>
  <si>
    <r>
      <t>512κ*2</t>
    </r>
    <r>
      <rPr>
        <b/>
        <vertAlign val="superscript"/>
        <sz val="10"/>
        <color theme="1"/>
        <rFont val="Times New Roman"/>
        <family val="1"/>
      </rPr>
      <t>-μ</t>
    </r>
    <r>
      <rPr>
        <b/>
        <sz val="10"/>
        <color theme="1"/>
        <rFont val="Times New Roman"/>
        <family val="1"/>
      </rPr>
      <t xml:space="preserve">
[Tc]</t>
    </r>
  </si>
  <si>
    <r>
      <t>Symbol interval duration proportional to 2</t>
    </r>
    <r>
      <rPr>
        <b/>
        <vertAlign val="superscript"/>
        <sz val="10"/>
        <color theme="1"/>
        <rFont val="Times New Roman"/>
        <family val="1"/>
      </rPr>
      <t>-µ</t>
    </r>
    <r>
      <rPr>
        <b/>
        <sz val="10"/>
        <color theme="1"/>
        <rFont val="Times New Roman"/>
        <family val="1"/>
      </rPr>
      <t>, and the % of error</t>
    </r>
  </si>
  <si>
    <t>Freq. 
Range</t>
  </si>
  <si>
    <t>FR1, FR2-1</t>
  </si>
  <si>
    <t>FR2-1</t>
  </si>
  <si>
    <t>FR2-2</t>
  </si>
  <si>
    <t>Quantities for M-sequences and Gold sequences</t>
  </si>
  <si>
    <r>
      <t>Ф(2</t>
    </r>
    <r>
      <rPr>
        <b/>
        <vertAlign val="superscript"/>
        <sz val="11"/>
        <color theme="7" tint="-0.249977111117893"/>
        <rFont val="Times New Roman"/>
        <family val="1"/>
      </rPr>
      <t>k</t>
    </r>
    <r>
      <rPr>
        <b/>
        <sz val="11"/>
        <color theme="1"/>
        <rFont val="Times New Roman"/>
        <family val="1"/>
      </rPr>
      <t>-1)</t>
    </r>
  </si>
  <si>
    <r>
      <t>Shift register length “</t>
    </r>
    <r>
      <rPr>
        <b/>
        <sz val="11"/>
        <color theme="7" tint="-0.249977111117893"/>
        <rFont val="Times New Roman"/>
        <family val="1"/>
      </rPr>
      <t>k</t>
    </r>
    <r>
      <rPr>
        <b/>
        <sz val="11"/>
        <rFont val="Times New Roman"/>
        <family val="1"/>
      </rPr>
      <t>”</t>
    </r>
  </si>
  <si>
    <t>The result of Phi() is 2^k-2 because in the two values of k in this table, it happens that 2^k-1 is prime</t>
  </si>
  <si>
    <r>
      <t>Quantity of Gold sequences
per preferred function pair (1 family) (N</t>
    </r>
    <r>
      <rPr>
        <b/>
        <vertAlign val="subscript"/>
        <sz val="11"/>
        <color theme="1"/>
        <rFont val="Times New Roman"/>
        <family val="1"/>
      </rPr>
      <t>G</t>
    </r>
    <r>
      <rPr>
        <b/>
        <sz val="11"/>
        <color theme="1"/>
        <rFont val="Times New Roman"/>
        <family val="1"/>
      </rPr>
      <t>=2</t>
    </r>
    <r>
      <rPr>
        <b/>
        <vertAlign val="superscript"/>
        <sz val="11"/>
        <color theme="7" tint="-0.249977111117893"/>
        <rFont val="Times New Roman"/>
        <family val="1"/>
      </rPr>
      <t>k</t>
    </r>
    <r>
      <rPr>
        <b/>
        <sz val="11"/>
        <color theme="1"/>
        <rFont val="Times New Roman"/>
        <family val="1"/>
      </rPr>
      <t>+1)</t>
    </r>
  </si>
  <si>
    <r>
      <t>Maximum quantity of M-sequences
(N</t>
    </r>
    <r>
      <rPr>
        <b/>
        <vertAlign val="subscript"/>
        <sz val="11"/>
        <color theme="1"/>
        <rFont val="Times New Roman"/>
        <family val="1"/>
      </rPr>
      <t>GF</t>
    </r>
    <r>
      <rPr>
        <b/>
        <sz val="11"/>
        <color theme="1"/>
        <rFont val="Times New Roman"/>
        <family val="1"/>
      </rPr>
      <t>*N</t>
    </r>
    <r>
      <rPr>
        <b/>
        <vertAlign val="subscript"/>
        <sz val="11"/>
        <color theme="1"/>
        <rFont val="Times New Roman"/>
        <family val="1"/>
      </rPr>
      <t>M</t>
    </r>
    <r>
      <rPr>
        <b/>
        <sz val="11"/>
        <color theme="1"/>
        <rFont val="Times New Roman"/>
        <family val="1"/>
      </rPr>
      <t>)</t>
    </r>
  </si>
  <si>
    <r>
      <t>Quantity of shifted Gold sequences
per preferred function pair (1 family) 
(N</t>
    </r>
    <r>
      <rPr>
        <b/>
        <vertAlign val="subscript"/>
        <sz val="11"/>
        <color theme="1"/>
        <rFont val="Times New Roman"/>
        <family val="1"/>
      </rPr>
      <t>G</t>
    </r>
    <r>
      <rPr>
        <b/>
        <sz val="11"/>
        <color theme="1"/>
        <rFont val="Times New Roman"/>
        <family val="1"/>
      </rPr>
      <t>*N</t>
    </r>
    <r>
      <rPr>
        <b/>
        <vertAlign val="subscript"/>
        <sz val="11"/>
        <color theme="1"/>
        <rFont val="Times New Roman"/>
        <family val="1"/>
      </rPr>
      <t>S</t>
    </r>
    <r>
      <rPr>
        <b/>
        <sz val="11"/>
        <color theme="1"/>
        <rFont val="Times New Roman"/>
        <family val="1"/>
      </rPr>
      <t>)</t>
    </r>
  </si>
  <si>
    <r>
      <t>Quantity of preferred function pairs
(N</t>
    </r>
    <r>
      <rPr>
        <b/>
        <vertAlign val="subscript"/>
        <sz val="11"/>
        <color theme="1"/>
        <rFont val="Times New Roman"/>
        <family val="1"/>
      </rPr>
      <t>PF</t>
    </r>
    <r>
      <rPr>
        <b/>
        <sz val="11"/>
        <color theme="1"/>
        <rFont val="Times New Roman"/>
        <family val="1"/>
      </rPr>
      <t>=(2</t>
    </r>
    <r>
      <rPr>
        <b/>
        <vertAlign val="superscript"/>
        <sz val="11"/>
        <color theme="7" tint="-0.249977111117893"/>
        <rFont val="Times New Roman"/>
        <family val="1"/>
      </rPr>
      <t>k</t>
    </r>
    <r>
      <rPr>
        <b/>
        <sz val="11"/>
        <color theme="1"/>
        <rFont val="Times New Roman"/>
        <family val="1"/>
      </rPr>
      <t>-1)/2)</t>
    </r>
  </si>
  <si>
    <r>
      <t>Upper bound for quantity of Gold sequences
(N</t>
    </r>
    <r>
      <rPr>
        <b/>
        <vertAlign val="subscript"/>
        <sz val="11"/>
        <color theme="1"/>
        <rFont val="Times New Roman"/>
        <family val="1"/>
      </rPr>
      <t>PF</t>
    </r>
    <r>
      <rPr>
        <b/>
        <sz val="11"/>
        <color theme="1"/>
        <rFont val="Times New Roman"/>
        <family val="1"/>
      </rPr>
      <t>*N</t>
    </r>
    <r>
      <rPr>
        <b/>
        <vertAlign val="subscript"/>
        <sz val="11"/>
        <color theme="1"/>
        <rFont val="Times New Roman"/>
        <family val="1"/>
      </rPr>
      <t>G</t>
    </r>
    <r>
      <rPr>
        <b/>
        <sz val="11"/>
        <color theme="1"/>
        <rFont val="Times New Roman"/>
        <family val="1"/>
      </rPr>
      <t>)</t>
    </r>
  </si>
  <si>
    <r>
      <t xml:space="preserve">Quantity of </t>
    </r>
    <r>
      <rPr>
        <b/>
        <u/>
        <sz val="11"/>
        <color theme="1"/>
        <rFont val="Times New Roman"/>
        <family val="1"/>
      </rPr>
      <t>all</t>
    </r>
    <r>
      <rPr>
        <b/>
        <sz val="11"/>
        <color theme="1"/>
        <rFont val="Times New Roman"/>
        <family val="1"/>
      </rPr>
      <t xml:space="preserve"> sequences
(2^(2</t>
    </r>
    <r>
      <rPr>
        <b/>
        <vertAlign val="superscript"/>
        <sz val="11"/>
        <color theme="7" tint="-0.249977111117893"/>
        <rFont val="Times New Roman"/>
        <family val="1"/>
      </rPr>
      <t>k</t>
    </r>
    <r>
      <rPr>
        <b/>
        <sz val="11"/>
        <color theme="1"/>
        <rFont val="Times New Roman"/>
        <family val="1"/>
      </rPr>
      <t>-1))</t>
    </r>
  </si>
  <si>
    <r>
      <t>Quantity of M-sequences
per M-generative function (N</t>
    </r>
    <r>
      <rPr>
        <b/>
        <vertAlign val="subscript"/>
        <sz val="11"/>
        <color theme="1"/>
        <rFont val="Times New Roman"/>
        <family val="1"/>
      </rPr>
      <t>M</t>
    </r>
    <r>
      <rPr>
        <b/>
        <sz val="11"/>
        <color theme="1"/>
        <rFont val="Times New Roman"/>
        <family val="1"/>
      </rPr>
      <t>)</t>
    </r>
  </si>
  <si>
    <r>
      <t>Quantity of shifted M-sequences
per M-generative function 
(N</t>
    </r>
    <r>
      <rPr>
        <b/>
        <vertAlign val="subscript"/>
        <sz val="11"/>
        <color theme="1"/>
        <rFont val="Times New Roman"/>
        <family val="1"/>
      </rPr>
      <t>M</t>
    </r>
    <r>
      <rPr>
        <b/>
        <sz val="11"/>
        <color theme="1"/>
        <rFont val="Times New Roman"/>
        <family val="1"/>
      </rPr>
      <t>*N</t>
    </r>
    <r>
      <rPr>
        <b/>
        <vertAlign val="subscript"/>
        <sz val="11"/>
        <color theme="1"/>
        <rFont val="Times New Roman"/>
        <family val="1"/>
      </rPr>
      <t>S</t>
    </r>
    <r>
      <rPr>
        <b/>
        <sz val="11"/>
        <color theme="1"/>
        <rFont val="Times New Roman"/>
        <family val="1"/>
      </rPr>
      <t>)</t>
    </r>
  </si>
  <si>
    <r>
      <t>Quantity of M-generative functions
(N</t>
    </r>
    <r>
      <rPr>
        <b/>
        <vertAlign val="subscript"/>
        <sz val="11"/>
        <color theme="1"/>
        <rFont val="Times New Roman"/>
        <family val="1"/>
      </rPr>
      <t>GF</t>
    </r>
    <r>
      <rPr>
        <b/>
        <sz val="11"/>
        <color theme="1"/>
        <rFont val="Times New Roman"/>
        <family val="1"/>
      </rPr>
      <t>=Ф(2</t>
    </r>
    <r>
      <rPr>
        <b/>
        <vertAlign val="superscript"/>
        <sz val="11"/>
        <color theme="7" tint="-0.249977111117893"/>
        <rFont val="Times New Roman"/>
        <family val="1"/>
      </rPr>
      <t>k</t>
    </r>
    <r>
      <rPr>
        <b/>
        <sz val="11"/>
        <color theme="1"/>
        <rFont val="Times New Roman"/>
        <family val="1"/>
      </rPr>
      <t>-1)/</t>
    </r>
    <r>
      <rPr>
        <b/>
        <sz val="11"/>
        <color theme="7" tint="-0.249977111117893"/>
        <rFont val="Times New Roman"/>
        <family val="1"/>
      </rPr>
      <t>k</t>
    </r>
    <r>
      <rPr>
        <b/>
        <sz val="11"/>
        <color theme="1"/>
        <rFont val="Times New Roman"/>
        <family val="1"/>
      </rPr>
      <t>)</t>
    </r>
  </si>
  <si>
    <r>
      <t>Sequence length = Quantity of shifts =
Generative function period
(N</t>
    </r>
    <r>
      <rPr>
        <b/>
        <vertAlign val="subscript"/>
        <sz val="11"/>
        <color theme="1"/>
        <rFont val="Times New Roman"/>
        <family val="1"/>
      </rPr>
      <t>S</t>
    </r>
    <r>
      <rPr>
        <b/>
        <sz val="11"/>
        <color theme="1"/>
        <rFont val="Times New Roman"/>
        <family val="1"/>
      </rPr>
      <t>=2</t>
    </r>
    <r>
      <rPr>
        <b/>
        <vertAlign val="superscript"/>
        <sz val="11"/>
        <color theme="7" tint="-0.249977111117893"/>
        <rFont val="Times New Roman"/>
        <family val="1"/>
      </rPr>
      <t>k</t>
    </r>
    <r>
      <rPr>
        <b/>
        <sz val="11"/>
        <color theme="1"/>
        <rFont val="Times New Roman"/>
        <family val="1"/>
      </rPr>
      <t>-1) [bits]</t>
    </r>
  </si>
  <si>
    <t>Data for the example of losing one CRB because of the location of Point A</t>
  </si>
  <si>
    <t>Channel Bandwidth
[MHz]</t>
  </si>
  <si>
    <t>Each
guardband 
[kHz]</t>
  </si>
  <si>
    <r>
      <t xml:space="preserve">Lost CRBs
[CRBs of </t>
    </r>
    <r>
      <rPr>
        <b/>
        <sz val="11"/>
        <color theme="1"/>
        <rFont val="Aptos Narrow"/>
        <family val="2"/>
      </rPr>
      <t>µ</t>
    </r>
    <r>
      <rPr>
        <b/>
        <sz val="11"/>
        <color theme="1"/>
        <rFont val="Calibri"/>
        <family val="2"/>
        <scheme val="minor"/>
      </rPr>
      <t>-1]</t>
    </r>
  </si>
  <si>
    <t>Each
guardband 
[RBs]</t>
  </si>
  <si>
    <t>Slack
[kHz]</t>
  </si>
  <si>
    <t>Slack
[SCS]</t>
  </si>
  <si>
    <t>Data for the example and for the figure of the frequency top/down</t>
  </si>
  <si>
    <t>Minimum Channel Transm. Bandwidth Required [MHz]</t>
  </si>
  <si>
    <t>Maximum Channel Transm. Bandwidth supported
[MHz]</t>
  </si>
  <si>
    <r>
      <t xml:space="preserve">5G </t>
    </r>
    <r>
      <rPr>
        <b/>
        <u/>
        <sz val="14"/>
        <color theme="1"/>
        <rFont val="Calibri"/>
        <family val="2"/>
        <scheme val="minor"/>
      </rPr>
      <t>Minimum</t>
    </r>
    <r>
      <rPr>
        <b/>
        <sz val="14"/>
        <color theme="1"/>
        <rFont val="Calibri"/>
        <family val="2"/>
        <scheme val="minor"/>
      </rPr>
      <t xml:space="preserve"> Channel Transmission Bandwidth </t>
    </r>
    <r>
      <rPr>
        <b/>
        <u/>
        <sz val="14"/>
        <color theme="1"/>
        <rFont val="Calibri"/>
        <family val="2"/>
        <scheme val="minor"/>
      </rPr>
      <t>required</t>
    </r>
    <r>
      <rPr>
        <b/>
        <sz val="14"/>
        <color theme="1"/>
        <rFont val="Calibri"/>
        <family val="2"/>
        <scheme val="minor"/>
      </rPr>
      <t xml:space="preserve"> as a function of the SCS of the Synchronization Signal Block (SSB)</t>
    </r>
  </si>
  <si>
    <r>
      <t xml:space="preserve">5G </t>
    </r>
    <r>
      <rPr>
        <b/>
        <u/>
        <sz val="14"/>
        <color theme="1"/>
        <rFont val="Calibri"/>
        <family val="2"/>
        <scheme val="minor"/>
      </rPr>
      <t>Maximum</t>
    </r>
    <r>
      <rPr>
        <b/>
        <sz val="14"/>
        <color theme="1"/>
        <rFont val="Calibri"/>
        <family val="2"/>
        <scheme val="minor"/>
      </rPr>
      <t xml:space="preserve"> Channel Transmission Bandwidth </t>
    </r>
    <r>
      <rPr>
        <b/>
        <u/>
        <sz val="14"/>
        <color theme="1"/>
        <rFont val="Calibri"/>
        <family val="2"/>
        <scheme val="minor"/>
      </rPr>
      <t>supported</t>
    </r>
    <r>
      <rPr>
        <b/>
        <sz val="14"/>
        <color theme="1"/>
        <rFont val="Calibri"/>
        <family val="2"/>
        <scheme val="minor"/>
      </rPr>
      <t xml:space="preserve"> as a function of the control/shared SCS (max# of FFT)</t>
    </r>
  </si>
  <si>
    <t>Maximum channel transmission bandwidth (tables 5.3.2 from TS 38.101)</t>
  </si>
  <si>
    <t>Minimum guardband at each Channel edge (table 5.3.3 from TS 38.101)</t>
  </si>
  <si>
    <t>Channel Transmission Bandwidth [CRBs]</t>
  </si>
  <si>
    <r>
      <t xml:space="preserve">Channel Transmission Bandwidth
[CRBs of </t>
    </r>
    <r>
      <rPr>
        <b/>
        <sz val="11"/>
        <color theme="1"/>
        <rFont val="Aptos Narrow"/>
        <family val="2"/>
      </rPr>
      <t>µ</t>
    </r>
    <r>
      <rPr>
        <b/>
        <sz val="11"/>
        <color theme="1"/>
        <rFont val="Calibri"/>
        <family val="2"/>
        <scheme val="minor"/>
      </rPr>
      <t>-1]</t>
    </r>
  </si>
  <si>
    <r>
      <t xml:space="preserve">Channel Bandwidth </t>
    </r>
    <r>
      <rPr>
        <b/>
        <sz val="11"/>
        <color rgb="FFC00000"/>
        <rFont val="Calibri"/>
        <family val="2"/>
        <scheme val="minor"/>
      </rPr>
      <t>FR2</t>
    </r>
    <r>
      <rPr>
        <b/>
        <sz val="11"/>
        <color theme="1"/>
        <rFont val="Calibri"/>
        <family val="2"/>
        <scheme val="minor"/>
      </rPr>
      <t xml:space="preserve"> [MHz]</t>
    </r>
  </si>
  <si>
    <t>Data to compare with FR2</t>
  </si>
  <si>
    <r>
      <t xml:space="preserve">Channel Bandwidth </t>
    </r>
    <r>
      <rPr>
        <b/>
        <sz val="11"/>
        <color rgb="FFC00000"/>
        <rFont val="Calibri"/>
        <family val="2"/>
        <scheme val="minor"/>
      </rPr>
      <t>FR1</t>
    </r>
    <r>
      <rPr>
        <b/>
        <sz val="11"/>
        <color theme="1"/>
        <rFont val="Calibri"/>
        <family val="2"/>
        <scheme val="minor"/>
      </rPr>
      <t xml:space="preserve"> [MHz]</t>
    </r>
  </si>
  <si>
    <t>PRACH preamble duration</t>
  </si>
  <si>
    <t>PRACH preamble frequency size</t>
  </si>
  <si>
    <r>
      <t>L</t>
    </r>
    <r>
      <rPr>
        <b/>
        <i/>
        <vertAlign val="subscript"/>
        <sz val="10"/>
        <color rgb="FF000000"/>
        <rFont val="Times New Roman"/>
        <family val="1"/>
      </rPr>
      <t>RA</t>
    </r>
    <r>
      <rPr>
        <b/>
        <i/>
        <sz val="10"/>
        <color rgb="FF000000"/>
        <rFont val="Times New Roman"/>
        <family val="1"/>
      </rPr>
      <t xml:space="preserve">
</t>
    </r>
    <r>
      <rPr>
        <b/>
        <sz val="10"/>
        <color rgb="FF000000"/>
        <rFont val="Times New Roman"/>
        <family val="1"/>
      </rPr>
      <t>[PSym]</t>
    </r>
  </si>
  <si>
    <r>
      <t>Δ</t>
    </r>
    <r>
      <rPr>
        <b/>
        <i/>
        <sz val="10"/>
        <color rgb="FF000000"/>
        <rFont val="Times New Roman"/>
        <family val="1"/>
      </rPr>
      <t>f</t>
    </r>
    <r>
      <rPr>
        <b/>
        <i/>
        <vertAlign val="subscript"/>
        <sz val="10"/>
        <color rgb="FF000000"/>
        <rFont val="Times New Roman"/>
        <family val="1"/>
      </rPr>
      <t xml:space="preserve">RA
</t>
    </r>
    <r>
      <rPr>
        <b/>
        <sz val="10"/>
        <color rgb="FF000000"/>
        <rFont val="Times New Roman"/>
        <family val="1"/>
      </rPr>
      <t>(PRACH SCS)
 [kHz]</t>
    </r>
  </si>
  <si>
    <r>
      <t>Δ</t>
    </r>
    <r>
      <rPr>
        <b/>
        <i/>
        <sz val="10"/>
        <color rgb="FF000000"/>
        <rFont val="Times New Roman"/>
        <family val="1"/>
      </rPr>
      <t>f</t>
    </r>
    <r>
      <rPr>
        <b/>
        <sz val="10"/>
        <color rgb="FF000000"/>
        <rFont val="Times New Roman"/>
        <family val="1"/>
      </rPr>
      <t xml:space="preserve">
(PUSCH SCS)
[kHz]</t>
    </r>
  </si>
  <si>
    <r>
      <t>N</t>
    </r>
    <r>
      <rPr>
        <b/>
        <i/>
        <vertAlign val="subscript"/>
        <sz val="10"/>
        <color rgb="FF000000"/>
        <rFont val="Times New Roman"/>
        <family val="1"/>
      </rPr>
      <t>RB</t>
    </r>
    <r>
      <rPr>
        <b/>
        <i/>
        <vertAlign val="superscript"/>
        <sz val="10"/>
        <color rgb="FF000000"/>
        <rFont val="Times New Roman"/>
        <family val="1"/>
      </rPr>
      <t xml:space="preserve">RA
</t>
    </r>
    <r>
      <rPr>
        <b/>
        <sz val="10"/>
        <color rgb="FF000000"/>
        <rFont val="Times New Roman"/>
        <family val="1"/>
      </rPr>
      <t>[PRBs of PUSCH]</t>
    </r>
  </si>
  <si>
    <r>
      <t xml:space="preserve">k¯
</t>
    </r>
    <r>
      <rPr>
        <b/>
        <sz val="10"/>
        <color rgb="FF000000"/>
        <rFont val="Times New Roman"/>
        <family val="1"/>
      </rPr>
      <t>[Δf</t>
    </r>
    <r>
      <rPr>
        <b/>
        <vertAlign val="subscript"/>
        <sz val="10"/>
        <color rgb="FF000000"/>
        <rFont val="Times New Roman"/>
        <family val="1"/>
      </rPr>
      <t>RA</t>
    </r>
    <r>
      <rPr>
        <b/>
        <sz val="10"/>
        <color rgb="FF000000"/>
        <rFont val="Times New Roman"/>
        <family val="1"/>
      </rPr>
      <t>]</t>
    </r>
  </si>
  <si>
    <r>
      <t xml:space="preserve"> [Δf</t>
    </r>
    <r>
      <rPr>
        <b/>
        <vertAlign val="subscript"/>
        <sz val="10"/>
        <color rgb="FF000000"/>
        <rFont val="Times New Roman"/>
        <family val="1"/>
      </rPr>
      <t>RA</t>
    </r>
    <r>
      <rPr>
        <b/>
        <sz val="10"/>
        <color rgb="FF000000"/>
        <rFont val="Times New Roman"/>
        <family val="1"/>
      </rPr>
      <t>]</t>
    </r>
  </si>
  <si>
    <t xml:space="preserve"> [kHz]</t>
  </si>
  <si>
    <t xml:space="preserve"> [PRBs of PUSCH]</t>
  </si>
  <si>
    <t>This is table 6.3.3.2-1 of TS 38.211</t>
  </si>
  <si>
    <t>Not centered</t>
  </si>
  <si>
    <t>Centered: the result cannot be zero because LRA is odd (prime), while the number of subcarriers in the RBs is always even (x12).</t>
  </si>
  <si>
    <t>Not centered, long format</t>
  </si>
  <si>
    <t>These are my calculations of the slack, including TWICE k, which is assuming that the value of k is intended to center the PRACH preamble in the allocated RBs.</t>
  </si>
  <si>
    <r>
      <t>Slack for PRACH preamble plus 2*k¯
(N</t>
    </r>
    <r>
      <rPr>
        <b/>
        <vertAlign val="subscript"/>
        <sz val="10"/>
        <color theme="1"/>
        <rFont val="Times New Roman"/>
        <family val="1"/>
      </rPr>
      <t>RB</t>
    </r>
    <r>
      <rPr>
        <b/>
        <vertAlign val="superscript"/>
        <sz val="10"/>
        <color theme="1"/>
        <rFont val="Times New Roman"/>
        <family val="1"/>
      </rPr>
      <t>RA</t>
    </r>
    <r>
      <rPr>
        <b/>
        <sz val="10"/>
        <color theme="1"/>
        <rFont val="Times New Roman"/>
        <family val="1"/>
      </rPr>
      <t>*Δf) - (L</t>
    </r>
    <r>
      <rPr>
        <b/>
        <vertAlign val="subscript"/>
        <sz val="10"/>
        <color theme="1"/>
        <rFont val="Times New Roman"/>
        <family val="1"/>
      </rPr>
      <t>RA</t>
    </r>
    <r>
      <rPr>
        <b/>
        <sz val="10"/>
        <color theme="1"/>
        <rFont val="Times New Roman"/>
        <family val="1"/>
      </rPr>
      <t>*Δf</t>
    </r>
    <r>
      <rPr>
        <b/>
        <vertAlign val="subscript"/>
        <sz val="10"/>
        <color theme="1"/>
        <rFont val="Times New Roman"/>
        <family val="1"/>
      </rPr>
      <t>RA</t>
    </r>
    <r>
      <rPr>
        <b/>
        <sz val="10"/>
        <color theme="1"/>
        <rFont val="Times New Roman"/>
        <family val="1"/>
      </rPr>
      <t>) - (2k*Δf</t>
    </r>
    <r>
      <rPr>
        <b/>
        <vertAlign val="subscript"/>
        <sz val="10"/>
        <color theme="1"/>
        <rFont val="Times New Roman"/>
        <family val="1"/>
      </rPr>
      <t>RA</t>
    </r>
    <r>
      <rPr>
        <b/>
        <sz val="10"/>
        <color theme="1"/>
        <rFont val="Times New Roman"/>
        <family val="1"/>
      </rPr>
      <t>)</t>
    </r>
  </si>
  <si>
    <t>TDD: slots in each TDD period</t>
  </si>
  <si>
    <r>
      <t>µ</t>
    </r>
    <r>
      <rPr>
        <b/>
        <vertAlign val="subscript"/>
        <sz val="11"/>
        <color theme="1"/>
        <rFont val="Times New Roman"/>
        <family val="1"/>
      </rPr>
      <t>ref</t>
    </r>
  </si>
  <si>
    <r>
      <t>20/</t>
    </r>
    <r>
      <rPr>
        <b/>
        <i/>
        <sz val="11"/>
        <color theme="1"/>
        <rFont val="Times New Roman"/>
        <family val="1"/>
      </rPr>
      <t>P</t>
    </r>
    <r>
      <rPr>
        <b/>
        <sz val="11"/>
        <color theme="1"/>
        <rFont val="Times New Roman"/>
        <family val="1"/>
      </rPr>
      <t xml:space="preserve">
[periods]</t>
    </r>
  </si>
  <si>
    <t>TDD period 
[ms]</t>
  </si>
  <si>
    <t>Slots  in a TDD period</t>
  </si>
  <si>
    <t>Time calculations</t>
  </si>
  <si>
    <t>In LTE one subframe is always 1 ms and 14 symbol intervals (except of MBSSS). A resource block is always 12 subcarriers over all the symbols of the subframe.</t>
  </si>
  <si>
    <r>
      <t>In LTE one subframe is always 1 ms. The number of symbol intervals per subframe is {14,12}*2</t>
    </r>
    <r>
      <rPr>
        <b/>
        <vertAlign val="superscript"/>
        <sz val="10"/>
        <color theme="1"/>
        <rFont val="Times New Roman"/>
        <family val="1"/>
      </rPr>
      <t>µ</t>
    </r>
    <r>
      <rPr>
        <b/>
        <sz val="10"/>
        <color theme="1"/>
        <rFont val="Times New Roman"/>
        <family val="1"/>
      </rPr>
      <t>, where 14 is for NCP and 12 for ECP. A resource block is always 12 subcarriers over all the symbols of the subframe.</t>
    </r>
  </si>
  <si>
    <t>Propag. delay
 [µs/km]</t>
  </si>
  <si>
    <t>Distance [m]</t>
  </si>
  <si>
    <t>Delay [µs]</t>
  </si>
  <si>
    <t>UEs only capable of half-duplex (even in FDD), Redcap UEs</t>
  </si>
  <si>
    <t>Transition time</t>
  </si>
  <si>
    <t>% REs</t>
  </si>
  <si>
    <t>bits/RE</t>
  </si>
  <si>
    <t>0 to 1</t>
  </si>
  <si>
    <r>
      <t>1/n</t>
    </r>
    <r>
      <rPr>
        <vertAlign val="superscript"/>
        <sz val="11"/>
        <color theme="1"/>
        <rFont val="Times New Roman"/>
        <family val="1"/>
      </rPr>
      <t>2</t>
    </r>
  </si>
  <si>
    <t>(n-1) to n</t>
  </si>
  <si>
    <t>(2n-1)</t>
  </si>
  <si>
    <r>
      <t>log</t>
    </r>
    <r>
      <rPr>
        <vertAlign val="subscript"/>
        <sz val="11"/>
        <color theme="1"/>
        <rFont val="Times New Roman"/>
        <family val="1"/>
      </rPr>
      <t>2</t>
    </r>
    <r>
      <rPr>
        <sz val="11"/>
        <color theme="1"/>
        <rFont val="Times New Roman"/>
        <family val="1"/>
      </rPr>
      <t>(1+1)</t>
    </r>
  </si>
  <si>
    <t>Capacity planning</t>
  </si>
  <si>
    <t>R is the cell range</t>
  </si>
  <si>
    <t>it is likely that n can be removed by calculating the result when n tends to infinity</t>
  </si>
  <si>
    <t>Annulus radii [R/n]</t>
  </si>
  <si>
    <r>
      <t>Annulus area
[R</t>
    </r>
    <r>
      <rPr>
        <b/>
        <vertAlign val="superscript"/>
        <sz val="11"/>
        <color rgb="FF000000"/>
        <rFont val="Times New Roman"/>
        <family val="1"/>
      </rPr>
      <t>2</t>
    </r>
    <r>
      <rPr>
        <b/>
        <sz val="11"/>
        <color rgb="FF000000"/>
        <rFont val="Times New Roman"/>
        <family val="1"/>
      </rPr>
      <t>/n</t>
    </r>
    <r>
      <rPr>
        <b/>
        <vertAlign val="superscript"/>
        <sz val="11"/>
        <color rgb="FF000000"/>
        <rFont val="Times New Roman"/>
        <family val="1"/>
      </rPr>
      <t>2</t>
    </r>
    <r>
      <rPr>
        <b/>
        <sz val="11"/>
        <color rgb="FF000000"/>
        <rFont val="Times New Roman"/>
        <family val="1"/>
      </rPr>
      <t>]</t>
    </r>
  </si>
  <si>
    <r>
      <t>(2n-1)/n</t>
    </r>
    <r>
      <rPr>
        <vertAlign val="superscript"/>
        <sz val="11"/>
        <color theme="1"/>
        <rFont val="Times New Roman"/>
        <family val="1"/>
      </rPr>
      <t>2</t>
    </r>
  </si>
  <si>
    <r>
      <t>Annulus area
[π R</t>
    </r>
    <r>
      <rPr>
        <b/>
        <vertAlign val="superscript"/>
        <sz val="11"/>
        <color rgb="FF000000"/>
        <rFont val="Times New Roman"/>
        <family val="1"/>
      </rPr>
      <t>2</t>
    </r>
    <r>
      <rPr>
        <b/>
        <sz val="11"/>
        <color rgb="FF000000"/>
        <rFont val="Times New Roman"/>
        <family val="1"/>
      </rPr>
      <t>/n</t>
    </r>
    <r>
      <rPr>
        <b/>
        <vertAlign val="superscript"/>
        <sz val="11"/>
        <color rgb="FF000000"/>
        <rFont val="Times New Roman"/>
        <family val="1"/>
      </rPr>
      <t>2</t>
    </r>
    <r>
      <rPr>
        <b/>
        <sz val="11"/>
        <color rgb="FF000000"/>
        <rFont val="Times New Roman"/>
        <family val="1"/>
      </rPr>
      <t>]</t>
    </r>
  </si>
  <si>
    <t>Annulus radii
[R/n]</t>
  </si>
  <si>
    <t>n is the number of fractions of the cell range over which we do the calculation</t>
  </si>
  <si>
    <t>TOTAL</t>
  </si>
  <si>
    <r>
      <t>log</t>
    </r>
    <r>
      <rPr>
        <vertAlign val="subscript"/>
        <sz val="11"/>
        <color theme="1"/>
        <rFont val="Times New Roman"/>
        <family val="1"/>
      </rPr>
      <t>2</t>
    </r>
    <r>
      <rPr>
        <sz val="11"/>
        <color theme="1"/>
        <rFont val="Times New Roman"/>
        <family val="1"/>
      </rPr>
      <t>(1+1/n</t>
    </r>
    <r>
      <rPr>
        <vertAlign val="superscript"/>
        <sz val="11"/>
        <color theme="1"/>
        <rFont val="Times New Roman"/>
        <family val="1"/>
      </rPr>
      <t>2</t>
    </r>
    <r>
      <rPr>
        <sz val="11"/>
        <color theme="1"/>
        <rFont val="Times New Roman"/>
        <family val="1"/>
      </rPr>
      <t>)</t>
    </r>
  </si>
  <si>
    <r>
      <t>n</t>
    </r>
    <r>
      <rPr>
        <b/>
        <vertAlign val="superscript"/>
        <sz val="11"/>
        <color rgb="FF000000"/>
        <rFont val="Times New Roman"/>
        <family val="1"/>
      </rPr>
      <t>2</t>
    </r>
  </si>
  <si>
    <t>% REs
(nearer UEs)</t>
  </si>
  <si>
    <t>% REs *
bits/RE</t>
  </si>
  <si>
    <t>%REs
(prop. to area)</t>
  </si>
  <si>
    <t>(r-1) to r</t>
  </si>
  <si>
    <t>(2r-1)</t>
  </si>
  <si>
    <t>Annulus
 index "r"
[R/n]</t>
  </si>
  <si>
    <r>
      <t>log</t>
    </r>
    <r>
      <rPr>
        <vertAlign val="subscript"/>
        <sz val="11"/>
        <color theme="1"/>
        <rFont val="Times New Roman"/>
        <family val="1"/>
      </rPr>
      <t>2</t>
    </r>
    <r>
      <rPr>
        <sz val="11"/>
        <color theme="1"/>
        <rFont val="Times New Roman"/>
        <family val="1"/>
      </rPr>
      <t>(1+r</t>
    </r>
    <r>
      <rPr>
        <vertAlign val="superscript"/>
        <sz val="11"/>
        <color theme="1"/>
        <rFont val="Times New Roman"/>
        <family val="1"/>
      </rPr>
      <t>2</t>
    </r>
    <r>
      <rPr>
        <sz val="11"/>
        <color theme="1"/>
        <rFont val="Times New Roman"/>
        <family val="1"/>
      </rPr>
      <t>/n</t>
    </r>
    <r>
      <rPr>
        <vertAlign val="superscript"/>
        <sz val="11"/>
        <color theme="1"/>
        <rFont val="Times New Roman"/>
        <family val="1"/>
      </rPr>
      <t>2</t>
    </r>
    <r>
      <rPr>
        <sz val="11"/>
        <color theme="1"/>
        <rFont val="Times New Roman"/>
        <family val="1"/>
      </rPr>
      <t>)</t>
    </r>
  </si>
  <si>
    <r>
      <t>(2r-1)/n</t>
    </r>
    <r>
      <rPr>
        <vertAlign val="superscript"/>
        <sz val="11"/>
        <color theme="1"/>
        <rFont val="Times New Roman"/>
        <family val="1"/>
      </rPr>
      <t>2</t>
    </r>
  </si>
  <si>
    <t>% REs
(prop. to area)</t>
  </si>
  <si>
    <t>Adjust
[%]</t>
  </si>
  <si>
    <t>% REs
(adjusted)</t>
  </si>
  <si>
    <r>
      <t>Subcarrier spacing
(15*2</t>
    </r>
    <r>
      <rPr>
        <b/>
        <vertAlign val="superscript"/>
        <sz val="10"/>
        <color rgb="FF000000"/>
        <rFont val="Times New Roman"/>
        <family val="1"/>
      </rPr>
      <t>µ</t>
    </r>
    <r>
      <rPr>
        <b/>
        <sz val="10"/>
        <color rgb="FF000000"/>
        <rFont val="Times New Roman"/>
        <family val="1"/>
      </rPr>
      <t>)
[kHz]</t>
    </r>
  </si>
  <si>
    <t>Bits/Symbol
[bits]</t>
  </si>
  <si>
    <t>Bits/Subframe
[bits]</t>
  </si>
  <si>
    <t>Bits/Slot
[bits]</t>
  </si>
  <si>
    <r>
      <t xml:space="preserve"> [</t>
    </r>
    <r>
      <rPr>
        <b/>
        <i/>
        <sz val="10"/>
        <color rgb="FF000000"/>
        <rFont val="Times New Roman"/>
        <family val="1"/>
      </rPr>
      <t>T</t>
    </r>
    <r>
      <rPr>
        <b/>
        <vertAlign val="subscript"/>
        <sz val="10"/>
        <color rgb="FF000000"/>
        <rFont val="Times New Roman"/>
        <family val="1"/>
      </rPr>
      <t>c</t>
    </r>
    <r>
      <rPr>
        <b/>
        <sz val="10"/>
        <color rgb="FF000000"/>
        <rFont val="Times New Roman"/>
        <family val="1"/>
      </rPr>
      <t>]</t>
    </r>
  </si>
  <si>
    <r>
      <t>N</t>
    </r>
    <r>
      <rPr>
        <b/>
        <vertAlign val="subscript"/>
        <sz val="10"/>
        <color rgb="FF000000"/>
        <rFont val="Times New Roman"/>
        <family val="1"/>
      </rPr>
      <t>Tx-Rx</t>
    </r>
  </si>
  <si>
    <r>
      <t>N</t>
    </r>
    <r>
      <rPr>
        <b/>
        <vertAlign val="subscript"/>
        <sz val="10"/>
        <color rgb="FF000000"/>
        <rFont val="Times New Roman"/>
        <family val="1"/>
      </rPr>
      <t>Rx-Tx</t>
    </r>
  </si>
  <si>
    <t>Nume
rology
“µ”</t>
  </si>
  <si>
    <t>Resource_Block*slot bitrate (NCP)
[kbps]</t>
  </si>
  <si>
    <t>Symbols per Slot
[symbols]</t>
  </si>
  <si>
    <r>
      <t>Slots per subframe
(2</t>
    </r>
    <r>
      <rPr>
        <b/>
        <vertAlign val="superscript"/>
        <sz val="10"/>
        <color rgb="FF000000"/>
        <rFont val="Times New Roman"/>
        <family val="1"/>
      </rPr>
      <t>µ</t>
    </r>
    <r>
      <rPr>
        <b/>
        <sz val="10"/>
        <color rgb="FF000000"/>
        <rFont val="Times New Roman"/>
        <family val="1"/>
      </rPr>
      <t>)
[slots]</t>
    </r>
  </si>
  <si>
    <t>SCS
[KHz]</t>
  </si>
  <si>
    <t>Channel Bandw. [MHz]</t>
  </si>
  <si>
    <t>Slot/Subf. [µs]</t>
  </si>
  <si>
    <t>Slot/Subf. Size [bytes]</t>
  </si>
  <si>
    <t>Throughput [Mbps]</t>
  </si>
  <si>
    <t>TBS values from table 5.1.3.2-1 from TS 38.214</t>
  </si>
  <si>
    <t>&lt;= .25</t>
  </si>
  <si>
    <t>&lt;= .67</t>
  </si>
  <si>
    <t>&gt; .67</t>
  </si>
  <si>
    <t>Protected transport block bitlength (P) [bits]</t>
  </si>
  <si>
    <t>Transport block bitlength (T) [bits]</t>
  </si>
  <si>
    <t>Operations over a transport block</t>
  </si>
  <si>
    <t>BG 2</t>
  </si>
  <si>
    <t>Base graph (depending on Code Rate, in next column)</t>
  </si>
  <si>
    <t>BG 1</t>
  </si>
  <si>
    <t>CRC bitlength (Y) [bits]</t>
  </si>
  <si>
    <t>Quantity of code blocks (Ncb)</t>
  </si>
  <si>
    <t>Zc</t>
  </si>
  <si>
    <t>Maximum code block bitlength (Cmax) [bits]</t>
  </si>
  <si>
    <t>Code block bitlength (C) [bits]</t>
  </si>
  <si>
    <t>Kb</t>
  </si>
  <si>
    <t>Any T bitlength</t>
  </si>
  <si>
    <t>If the cell value is less than 10^6, the cell contains a value of Z that fullfills the condition</t>
  </si>
  <si>
    <t>All values of Z</t>
  </si>
  <si>
    <t>Other values from
 https://5g-tools.com/5g-nr-tbs-transport-block-size-calculator/</t>
  </si>
  <si>
    <t>P/Ncb (must be integer!)</t>
  </si>
  <si>
    <t>Code Rate (CR)  &gt; .67</t>
  </si>
  <si>
    <t>Max</t>
  </si>
  <si>
    <t>Min</t>
  </si>
  <si>
    <t>1, 5, 8, 12</t>
  </si>
  <si>
    <t>3, 10</t>
  </si>
  <si>
    <t>1, 4, 7, 11</t>
  </si>
  <si>
    <t>2, 9</t>
  </si>
  <si>
    <t>1, 4, 7, 10</t>
  </si>
  <si>
    <t>2, 8</t>
  </si>
  <si>
    <t>1, 3, 6, 9</t>
  </si>
  <si>
    <t>2, 7</t>
  </si>
  <si>
    <t>1, 3, 6, 8</t>
  </si>
  <si>
    <t>1, 6</t>
  </si>
  <si>
    <t>1, 5</t>
  </si>
  <si>
    <t>1, 4</t>
  </si>
  <si>
    <t>0, 3</t>
  </si>
  <si>
    <t>0, 2</t>
  </si>
  <si>
    <t>Frequency hopping</t>
  </si>
  <si>
    <t>No frequency hopping</t>
  </si>
  <si>
    <t># of symbol intervals</t>
  </si>
  <si>
    <t>Additional DMRS</t>
  </si>
  <si>
    <t>No additional DMRS</t>
  </si>
  <si>
    <t>[symbol intervals]</t>
  </si>
  <si>
    <t>[PUCCH symbol index]</t>
  </si>
  <si>
    <t>Payload sis/Total Sis</t>
  </si>
  <si>
    <t>Payload within PUCCH</t>
  </si>
  <si>
    <t>DMRS within PUCCH</t>
  </si>
  <si>
    <t>Pay si/
tot si</t>
  </si>
  <si>
    <t>Payload sy.in.</t>
  </si>
  <si>
    <t>DMRS sy.in.</t>
  </si>
  <si>
    <t>Format 1: payload REs/total Res</t>
  </si>
  <si>
    <t>Cyclic Shift</t>
  </si>
  <si>
    <t>UE Mux method</t>
  </si>
  <si>
    <t>(in FR2-2)</t>
  </si>
  <si>
    <t>PUCCH useful capacity [bits]</t>
  </si>
  <si>
    <t>maxCodeRate</t>
  </si>
  <si>
    <t>PUCCH payload [bits]</t>
  </si>
  <si>
    <t>Modulation order</t>
  </si>
  <si>
    <t>{2 bits}: QPSK</t>
  </si>
  <si>
    <t>{1 bit}:  BPSK</t>
  </si>
  <si>
    <t>{UCI message [bits]} =&gt; Modulation</t>
  </si>
  <si>
    <t>PUCCH payload [REs]</t>
  </si>
  <si>
    <t>Payload REs / Total Res</t>
  </si>
  <si>
    <r>
      <t>(2</t>
    </r>
    <r>
      <rPr>
        <b/>
        <vertAlign val="superscript"/>
        <sz val="10"/>
        <color rgb="FF000000"/>
        <rFont val="Times New Roman"/>
        <family val="1"/>
      </rPr>
      <t>nd</t>
    </r>
    <r>
      <rPr>
        <b/>
        <sz val="10"/>
        <color rgb="FF000000"/>
        <rFont val="Times New Roman"/>
        <family val="1"/>
      </rPr>
      <t xml:space="preserve"> row: only in FR2-2)</t>
    </r>
  </si>
  <si>
    <t>PUCCH total [REs]</t>
  </si>
  <si>
    <r>
      <t>(</t>
    </r>
    <r>
      <rPr>
        <b/>
        <sz val="10"/>
        <color rgb="FF000000"/>
        <rFont val="Times New Roman"/>
        <family val="1"/>
      </rPr>
      <t>in FR2-2</t>
    </r>
    <r>
      <rPr>
        <sz val="10"/>
        <color rgb="FF000000"/>
        <rFont val="Times New Roman"/>
        <family val="1"/>
      </rPr>
      <t xml:space="preserve"> it is nrofPRBs-r17)</t>
    </r>
  </si>
  <si>
    <t>nrofPRBs</t>
  </si>
  <si>
    <r>
      <t xml:space="preserve">nrofSymbols </t>
    </r>
    <r>
      <rPr>
        <b/>
        <sz val="10"/>
        <color rgb="FF000000"/>
        <rFont val="Times New Roman"/>
        <family val="1"/>
      </rPr>
      <t>[syms]</t>
    </r>
  </si>
  <si>
    <t>Long</t>
  </si>
  <si>
    <t>Short</t>
  </si>
  <si>
    <t>Format type</t>
  </si>
  <si>
    <t>Characteristic</t>
  </si>
  <si>
    <t>PUCCH Formats</t>
  </si>
  <si>
    <r>
      <t xml:space="preserve">QPSK or 
</t>
    </r>
    <r>
      <rPr>
        <sz val="10"/>
        <color theme="1"/>
        <rFont val="Times New Roman"/>
        <family val="1"/>
      </rPr>
      <t>π/2-BPSK (opt.)</t>
    </r>
  </si>
  <si>
    <t>format0</t>
  </si>
  <si>
    <t>format4</t>
  </si>
  <si>
    <t>format3</t>
  </si>
  <si>
    <t>format2</t>
  </si>
  <si>
    <t>format1</t>
  </si>
  <si>
    <t>{3 to 11} Reed Muller. {&gt;11} Polar.</t>
  </si>
  <si>
    <r>
      <rPr>
        <b/>
        <sz val="10"/>
        <color rgb="FF0070C0"/>
        <rFont val="Courier New"/>
        <family val="3"/>
      </rPr>
      <t>format3</t>
    </r>
    <r>
      <rPr>
        <b/>
        <sz val="11"/>
        <color theme="1"/>
        <rFont val="Times New Roman"/>
        <family val="1"/>
      </rPr>
      <t xml:space="preserve"> and </t>
    </r>
    <r>
      <rPr>
        <b/>
        <sz val="10"/>
        <color rgb="FF0070C0"/>
        <rFont val="Courier New"/>
        <family val="3"/>
      </rPr>
      <t>format4</t>
    </r>
    <r>
      <rPr>
        <b/>
        <sz val="11"/>
        <color theme="1"/>
        <rFont val="Times New Roman"/>
        <family val="1"/>
      </rPr>
      <t>: payload REs/total Res</t>
    </r>
  </si>
  <si>
    <r>
      <rPr>
        <b/>
        <sz val="10"/>
        <rFont val="Times New Roman"/>
        <family val="1"/>
      </rPr>
      <t>Option of</t>
    </r>
    <r>
      <rPr>
        <b/>
        <sz val="9"/>
        <rFont val="Courier New"/>
        <family val="3"/>
      </rPr>
      <t xml:space="preserve"> </t>
    </r>
    <r>
      <rPr>
        <b/>
        <sz val="9"/>
        <color rgb="FF0070C0"/>
        <rFont val="Courier New"/>
        <family val="3"/>
      </rPr>
      <t>additionalDMRS</t>
    </r>
  </si>
  <si>
    <t>Yes</t>
  </si>
  <si>
    <t>The indicated value Minimizes or Maximaces capacity</t>
  </si>
  <si>
    <r>
      <t xml:space="preserve">Max. Multiplexed UEs in the same PRB
The two lines mean:
</t>
    </r>
    <r>
      <rPr>
        <b/>
        <sz val="9"/>
        <color rgb="FF0070C0"/>
        <rFont val="Courier New"/>
        <family val="3"/>
      </rPr>
      <t>format0</t>
    </r>
    <r>
      <rPr>
        <b/>
        <sz val="10"/>
        <color rgb="FF000000"/>
        <rFont val="Times New Roman"/>
        <family val="1"/>
      </rPr>
      <t xml:space="preserve">: with 1 bit or 2 bits
</t>
    </r>
    <r>
      <rPr>
        <b/>
        <sz val="9"/>
        <color rgb="FF0070C0"/>
        <rFont val="Courier New"/>
        <family val="3"/>
      </rPr>
      <t>format1</t>
    </r>
    <r>
      <rPr>
        <b/>
        <sz val="10"/>
        <color rgb="FF000000"/>
        <rFont val="Times New Roman"/>
        <family val="1"/>
      </rPr>
      <t>: with freq. Hopp or no freq. hopp.</t>
    </r>
  </si>
  <si>
    <t>This is for the table on PUCCH payload processing</t>
  </si>
  <si>
    <t>This is for the table on PUCCH Formats and variants</t>
  </si>
  <si>
    <t>in FR2-2</t>
  </si>
  <si>
    <t>Frequency-spreading with low-PAPR type 1 [useful/total]</t>
  </si>
  <si>
    <t>REs before frequency-spreading with low-PAPR type1</t>
  </si>
  <si>
    <t>Cyclic Shift
and TD-OCC</t>
  </si>
  <si>
    <t>TD-OCC</t>
  </si>
  <si>
    <t>{UCI message [bits]} =&gt;
Channel coding</t>
  </si>
  <si>
    <t>Repetition</t>
  </si>
  <si>
    <t>UCI REs [REs]</t>
  </si>
  <si>
    <t>REs before spreading</t>
  </si>
  <si>
    <t xml:space="preserve">     this row for FR2-2</t>
  </si>
  <si>
    <t>Minimum
Capacity</t>
  </si>
  <si>
    <t>Maximum
Capacity</t>
  </si>
  <si>
    <t>Time-spreading for format3 and format4</t>
  </si>
  <si>
    <r>
      <rPr>
        <b/>
        <i/>
        <sz val="11"/>
        <color theme="1"/>
        <rFont val="Calibri"/>
        <family val="2"/>
        <scheme val="minor"/>
      </rPr>
      <t>M</t>
    </r>
    <r>
      <rPr>
        <b/>
        <i/>
        <vertAlign val="subscript"/>
        <sz val="11"/>
        <color theme="1"/>
        <rFont val="Calibri"/>
        <family val="2"/>
        <scheme val="minor"/>
      </rPr>
      <t>sc</t>
    </r>
    <r>
      <rPr>
        <b/>
        <i/>
        <vertAlign val="superscript"/>
        <sz val="11"/>
        <color theme="1"/>
        <rFont val="Calibri"/>
        <family val="2"/>
        <scheme val="minor"/>
      </rPr>
      <t>PUCCH</t>
    </r>
  </si>
  <si>
    <t>l</t>
  </si>
  <si>
    <r>
      <t>N</t>
    </r>
    <r>
      <rPr>
        <b/>
        <i/>
        <vertAlign val="subscript"/>
        <sz val="11"/>
        <color theme="1"/>
        <rFont val="Calibri"/>
        <family val="2"/>
        <scheme val="minor"/>
      </rPr>
      <t>SF</t>
    </r>
    <r>
      <rPr>
        <b/>
        <i/>
        <vertAlign val="superscript"/>
        <sz val="11"/>
        <color theme="1"/>
        <rFont val="Calibri"/>
        <family val="2"/>
        <scheme val="minor"/>
      </rPr>
      <t>PUCCH</t>
    </r>
  </si>
  <si>
    <t>Range</t>
  </si>
  <si>
    <t>m</t>
  </si>
  <si>
    <t>x</t>
  </si>
  <si>
    <r>
      <t>M</t>
    </r>
    <r>
      <rPr>
        <b/>
        <i/>
        <vertAlign val="subscript"/>
        <sz val="11"/>
        <color theme="1"/>
        <rFont val="Calibri"/>
        <family val="2"/>
        <scheme val="minor"/>
      </rPr>
      <t>sc</t>
    </r>
    <r>
      <rPr>
        <b/>
        <i/>
        <vertAlign val="superscript"/>
        <sz val="11"/>
        <color theme="1"/>
        <rFont val="Calibri"/>
        <family val="2"/>
        <scheme val="minor"/>
      </rPr>
      <t>PUCCH</t>
    </r>
    <r>
      <rPr>
        <b/>
        <i/>
        <sz val="11"/>
        <color theme="1"/>
        <rFont val="Calibri"/>
        <family val="2"/>
        <scheme val="minor"/>
      </rPr>
      <t>-1</t>
    </r>
  </si>
  <si>
    <r>
      <t>N</t>
    </r>
    <r>
      <rPr>
        <b/>
        <i/>
        <vertAlign val="subscript"/>
        <sz val="11"/>
        <color theme="1"/>
        <rFont val="Calibri"/>
        <family val="2"/>
        <scheme val="minor"/>
      </rPr>
      <t>SF</t>
    </r>
    <r>
      <rPr>
        <b/>
        <i/>
        <vertAlign val="superscript"/>
        <sz val="11"/>
        <color theme="1"/>
        <rFont val="Calibri"/>
        <family val="2"/>
        <scheme val="minor"/>
      </rPr>
      <t>PUCCH</t>
    </r>
    <r>
      <rPr>
        <b/>
        <i/>
        <sz val="11"/>
        <color theme="1"/>
        <rFont val="Calibri"/>
        <family val="2"/>
        <scheme val="minor"/>
      </rPr>
      <t>-1</t>
    </r>
  </si>
  <si>
    <r>
      <t>M</t>
    </r>
    <r>
      <rPr>
        <b/>
        <i/>
        <vertAlign val="subscript"/>
        <sz val="11"/>
        <color rgb="FF00B0F0"/>
        <rFont val="Calibri"/>
        <family val="2"/>
        <scheme val="minor"/>
      </rPr>
      <t>symb</t>
    </r>
  </si>
  <si>
    <t>Value</t>
  </si>
  <si>
    <r>
      <t>M</t>
    </r>
    <r>
      <rPr>
        <b/>
        <i/>
        <vertAlign val="subscript"/>
        <sz val="11"/>
        <color theme="1"/>
        <rFont val="Calibri"/>
        <family val="2"/>
        <scheme val="minor"/>
      </rPr>
      <t>sc</t>
    </r>
    <r>
      <rPr>
        <b/>
        <i/>
        <vertAlign val="superscript"/>
        <sz val="11"/>
        <color theme="1"/>
        <rFont val="Calibri"/>
        <family val="2"/>
        <scheme val="minor"/>
      </rPr>
      <t>PUCCH</t>
    </r>
    <r>
      <rPr>
        <b/>
        <i/>
        <sz val="11"/>
        <color theme="1"/>
        <rFont val="Calibri"/>
        <family val="2"/>
        <scheme val="minor"/>
      </rPr>
      <t xml:space="preserve"> / N</t>
    </r>
    <r>
      <rPr>
        <b/>
        <i/>
        <vertAlign val="subscript"/>
        <sz val="11"/>
        <color theme="1"/>
        <rFont val="Calibri"/>
        <family val="2"/>
        <scheme val="minor"/>
      </rPr>
      <t>SF</t>
    </r>
    <r>
      <rPr>
        <b/>
        <i/>
        <vertAlign val="superscript"/>
        <sz val="11"/>
        <color theme="1"/>
        <rFont val="Calibri"/>
        <family val="2"/>
        <scheme val="minor"/>
      </rPr>
      <t>PUCCH</t>
    </r>
  </si>
  <si>
    <r>
      <rPr>
        <b/>
        <i/>
        <sz val="11"/>
        <color rgb="FF00B0F0"/>
        <rFont val="Calibri"/>
        <family val="2"/>
        <scheme val="minor"/>
      </rPr>
      <t>M</t>
    </r>
    <r>
      <rPr>
        <b/>
        <i/>
        <vertAlign val="subscript"/>
        <sz val="11"/>
        <color rgb="FF00B0F0"/>
        <rFont val="Calibri"/>
        <family val="2"/>
        <scheme val="minor"/>
      </rPr>
      <t>Symb</t>
    </r>
    <r>
      <rPr>
        <b/>
        <i/>
        <sz val="11"/>
        <color theme="1"/>
        <rFont val="Calibri"/>
        <family val="2"/>
        <scheme val="minor"/>
      </rPr>
      <t>-1</t>
    </r>
  </si>
  <si>
    <r>
      <rPr>
        <b/>
        <i/>
        <sz val="11"/>
        <rFont val="Calibri"/>
        <family val="2"/>
        <scheme val="minor"/>
      </rPr>
      <t>N</t>
    </r>
    <r>
      <rPr>
        <b/>
        <i/>
        <vertAlign val="subscript"/>
        <sz val="11"/>
        <rFont val="Calibri"/>
        <family val="2"/>
        <scheme val="minor"/>
      </rPr>
      <t>SF</t>
    </r>
    <r>
      <rPr>
        <b/>
        <i/>
        <vertAlign val="superscript"/>
        <sz val="11"/>
        <rFont val="Calibri"/>
        <family val="2"/>
        <scheme val="minor"/>
      </rPr>
      <t>PUCCH</t>
    </r>
    <r>
      <rPr>
        <b/>
        <i/>
        <sz val="11"/>
        <rFont val="Calibri"/>
        <family val="2"/>
        <scheme val="minor"/>
      </rPr>
      <t>*</t>
    </r>
    <r>
      <rPr>
        <b/>
        <i/>
        <sz val="11"/>
        <color rgb="FF00B0F0"/>
        <rFont val="Calibri"/>
        <family val="2"/>
        <scheme val="minor"/>
      </rPr>
      <t>M</t>
    </r>
    <r>
      <rPr>
        <b/>
        <i/>
        <vertAlign val="subscript"/>
        <sz val="11"/>
        <color rgb="FF00B0F0"/>
        <rFont val="Calibri"/>
        <family val="2"/>
        <scheme val="minor"/>
      </rPr>
      <t>symb</t>
    </r>
    <r>
      <rPr>
        <b/>
        <i/>
        <sz val="11"/>
        <color theme="1"/>
        <rFont val="Calibri"/>
        <family val="2"/>
        <scheme val="minor"/>
      </rPr>
      <t>/
M</t>
    </r>
    <r>
      <rPr>
        <b/>
        <i/>
        <vertAlign val="subscript"/>
        <sz val="11"/>
        <color theme="1"/>
        <rFont val="Calibri"/>
        <family val="2"/>
        <scheme val="minor"/>
      </rPr>
      <t>sc</t>
    </r>
    <r>
      <rPr>
        <b/>
        <i/>
        <vertAlign val="superscript"/>
        <sz val="11"/>
        <color theme="1"/>
        <rFont val="Calibri"/>
        <family val="2"/>
        <scheme val="minor"/>
      </rPr>
      <t>PUCCH</t>
    </r>
    <r>
      <rPr>
        <b/>
        <i/>
        <sz val="11"/>
        <color theme="1"/>
        <rFont val="Calibri"/>
        <family val="2"/>
        <scheme val="minor"/>
      </rPr>
      <t>-1</t>
    </r>
  </si>
  <si>
    <t xml:space="preserve"> Step</t>
  </si>
  <si>
    <t>card(l)*
card(k)-1</t>
  </si>
  <si>
    <t>card(m)*
card(n)-1</t>
  </si>
  <si>
    <t>Discrete Fourier Transform and its inverse</t>
  </si>
  <si>
    <t>Baseband Signal</t>
  </si>
  <si>
    <t>BS()</t>
  </si>
  <si>
    <t>BASE BAND SIGNAL: it is a PERIODIC and COMPLEX-VALUED signal that is represented and sampled both in the time domain and in the frequency domain.</t>
  </si>
  <si>
    <t>P [sg]</t>
  </si>
  <si>
    <t>SAMPLED PERIOD: it is the repetition PERIOD of the PERIODIC signal in the time domain. This is the same as the TIME RANGE along which the signal is sampled in the time domain.</t>
  </si>
  <si>
    <t>QUANTITY of samples taken of the signal, both in the time domain and in the frequency domain. In the time domain, each sample is taken in the time instant in the MIDDLE of each sampling interval. In the frequency domain it is more complex because of negative frequencies.</t>
  </si>
  <si>
    <t>A DFT with "N" samples is called an "N-point" DFT.</t>
  </si>
  <si>
    <t>Time domain</t>
  </si>
  <si>
    <t>Tc=P/N [sg]</t>
  </si>
  <si>
    <t>SAMPLING INTERVAL: it is the TIME INTERVAL between every two consecutive samples of the baseband signal in the time domain.</t>
  </si>
  <si>
    <t>Frequency domain</t>
  </si>
  <si>
    <t>Δf = 1/P [Hz]</t>
  </si>
  <si>
    <t>FREQUENCY BIN: it is the frequency interval between every two consecutive samples of the baseband signal in the frequency domain.  It is the inverse of the SAMPLING PERIOD.</t>
  </si>
  <si>
    <t>Sf = N/P [Hz]</t>
  </si>
  <si>
    <t>SAMPLING FREQUENCY: it is t is the frequency with which time-samples are taken. It is the QUANTITY of samples divided by the SAMPLING PERIOD.</t>
  </si>
  <si>
    <t>Nf = 1/(2Tc) [Hz]</t>
  </si>
  <si>
    <t>NYQUIST FREQUENCY: it  is the highest possible frequency component of the baseband signal. It is the inverse of TWICE the SAMPLING INTERVAL.</t>
  </si>
  <si>
    <t>min</t>
  </si>
  <si>
    <t>max</t>
  </si>
  <si>
    <t>ti</t>
  </si>
  <si>
    <t>TIME-INDEX of each of the samples of the baseband signal in the time domain, and its range of values. Time-index 0 is the first instant of the period and time-index N is the last instant of the period.</t>
  </si>
  <si>
    <t>t(ti) [sg]</t>
  </si>
  <si>
    <t>TIME INSTANT of each of the samples of the baseband signal in the time domain, and its range of values.</t>
  </si>
  <si>
    <t>BS(it)=BS(t)</t>
  </si>
  <si>
    <t>SAMPLE VALUE of the baseband signal in  the time domain in each corresponding sampling time-index or each corresponding sampling instant. It is a COMPLEX value.</t>
  </si>
  <si>
    <t>Freq. domain</t>
  </si>
  <si>
    <t>fi</t>
  </si>
  <si>
    <t>FREQUENCY-INDEX of each the samples of the baseband signal in the frequency domain, and its range of values. Frequency-index 0 is the lowest frequency of the frequency range and frequency-index N is the highest frequency  of the frequency range.</t>
  </si>
  <si>
    <t>f(fi) [Hz]</t>
  </si>
  <si>
    <t>FREQUENCY of each of the samples of the baseband signal in the frequency domain, and its range of values.</t>
  </si>
  <si>
    <t>BS(if)=BS(f)</t>
  </si>
  <si>
    <t>SAMPLE VALUE of the baseband signal in the frequency domain in each corresponding sampling frequency-index or each corresponding sampling frequency . It is a COMPLEX value.</t>
  </si>
  <si>
    <t>This is the computation of the DFT.</t>
  </si>
  <si>
    <t>t(ti)[sg]</t>
  </si>
  <si>
    <t>&lt;= These are the INPUT complex values to the DFT calculation</t>
  </si>
  <si>
    <t>BS(it)*e^(-j*2π*if/N*it)</t>
  </si>
  <si>
    <t>Mod(BS(if))</t>
  </si>
  <si>
    <t>These are the non-rounded results, that include binary rounding errors.</t>
  </si>
  <si>
    <t>^^^^^^^^ These are the (rounded) complex RESULTS of the DFT calculation</t>
  </si>
  <si>
    <t>This is the computation of the inverse DFT.</t>
  </si>
  <si>
    <t>if</t>
  </si>
  <si>
    <t>f [Hz]</t>
  </si>
  <si>
    <t>&lt;= These are the INPUT complex values to the inverse DFT calculation</t>
  </si>
  <si>
    <t>it</t>
  </si>
  <si>
    <t>t [seg]</t>
  </si>
  <si>
    <t>BS(if)*e^(j*2π*it/N*if)</t>
  </si>
  <si>
    <t>^^^^^^^^ These are the (rounded) complex RESULTS of the inverse DFT calculation</t>
  </si>
  <si>
    <t>Reference Videos</t>
  </si>
  <si>
    <t xml:space="preserve">https://www.youtube.com/watch?v=QmgJmh2I3Fw </t>
  </si>
  <si>
    <t>https://www.youtube.com/watch?v=zqVCqmRQUxo</t>
  </si>
  <si>
    <t xml:space="preserve">https://www.youtube.com/watch?v=nl9TZanwbBk </t>
  </si>
  <si>
    <t>The following are auxiliary values that are used in the above formulas, which are used to compute the DFT and the iDFT.</t>
  </si>
  <si>
    <t>it*if</t>
  </si>
  <si>
    <r>
      <t>2</t>
    </r>
    <r>
      <rPr>
        <b/>
        <sz val="11"/>
        <color theme="9" tint="-0.249977111117893"/>
        <rFont val="Aptos Narrow"/>
        <family val="2"/>
      </rPr>
      <t>π/</t>
    </r>
    <r>
      <rPr>
        <b/>
        <sz val="11"/>
        <color theme="9" tint="-0.249977111117893"/>
        <rFont val="Calibri"/>
        <family val="2"/>
        <scheme val="minor"/>
      </rPr>
      <t>N [rad]</t>
    </r>
  </si>
  <si>
    <t>STEP in the frequency that is multiplied by the indexes to obtain the coefficients.</t>
  </si>
  <si>
    <t>it*if*2π/N [rad]</t>
  </si>
  <si>
    <t>Frequency of Q(t) [Hz]</t>
  </si>
  <si>
    <t>Frequency of I(t) [Hz]</t>
  </si>
  <si>
    <t xml:space="preserve">Amplitude of I(t)     </t>
  </si>
  <si>
    <t xml:space="preserve">Amplitude of Q(t)     </t>
  </si>
  <si>
    <t>These are the values of a complex valued BS(t)</t>
  </si>
  <si>
    <t>Phase of I(t) [degrees]</t>
  </si>
  <si>
    <t>Phase of Q(t) [degrees]</t>
  </si>
  <si>
    <t>Protocol efficy. [%]</t>
  </si>
  <si>
    <t>RLC retransmissions</t>
  </si>
  <si>
    <t>RLC</t>
  </si>
  <si>
    <t>PDCP?</t>
  </si>
  <si>
    <t>No IP options</t>
  </si>
  <si>
    <t>IP</t>
  </si>
  <si>
    <t>No TCP options</t>
  </si>
  <si>
    <t>TCP</t>
  </si>
  <si>
    <t>RTP</t>
  </si>
  <si>
    <t>RTP payload</t>
  </si>
  <si>
    <t>[%]</t>
  </si>
  <si>
    <t>[bits]</t>
  </si>
  <si>
    <t>Comments</t>
  </si>
  <si>
    <t>Overhead</t>
  </si>
  <si>
    <t>Cumm. size</t>
  </si>
  <si>
    <t>Protocol efficiency (throughput/bitrate) [%]: maximum</t>
  </si>
  <si>
    <t>Protocol efficiency (throughput/bitrate) [%]: minimum</t>
  </si>
  <si>
    <t>Protocol efficiency (throughput/bitrate) [%]</t>
  </si>
  <si>
    <t>Tx efficy. [bits/symbol]</t>
  </si>
  <si>
    <t>Removing DM-RS: 1 si de DM-RS y 13 de payload</t>
  </si>
  <si>
    <t>Payload/Total</t>
  </si>
  <si>
    <t>Payload symbols</t>
  </si>
  <si>
    <t>MIMO [layers]</t>
  </si>
  <si>
    <t>MIMO</t>
  </si>
  <si>
    <t>Qm is the modulation order</t>
  </si>
  <si>
    <t>Qm [bits/sym]</t>
  </si>
  <si>
    <t>Cumm. size [symbols]</t>
  </si>
  <si>
    <t>HARQ retransmissions</t>
  </si>
  <si>
    <t>This is the percentage of redundant bits sent</t>
  </si>
  <si>
    <t>Red. Sent.</t>
  </si>
  <si>
    <t>Rate matching</t>
  </si>
  <si>
    <t>Maximum code rate (minimum is 1/5)</t>
  </si>
  <si>
    <t>Code Rate</t>
  </si>
  <si>
    <t>LDPC encoding</t>
  </si>
  <si>
    <t>Assuming 4 Code blocks</t>
  </si>
  <si>
    <t xml:space="preserve"> Code blocks</t>
  </si>
  <si>
    <t>Code Block CRC</t>
  </si>
  <si>
    <t>Depends on TB size</t>
  </si>
  <si>
    <t>Transport Block CRC</t>
  </si>
  <si>
    <t>Transport Block</t>
  </si>
  <si>
    <t>Indicator</t>
  </si>
  <si>
    <t>Cumm. Size</t>
  </si>
  <si>
    <t>Transmission efficiency [bits/symbol]: maximum</t>
  </si>
  <si>
    <t>Removing DM-RS: 1 si de DM-RS y 2 de payload.</t>
  </si>
  <si>
    <t>Minimum code rate (maximum is 1/3)</t>
  </si>
  <si>
    <t>Assuming single code block</t>
  </si>
  <si>
    <t>Transmission efficiency [bits/symbol]: minimum</t>
  </si>
  <si>
    <t>Transmission efficiency [bits/symbol]</t>
  </si>
  <si>
    <t xml:space="preserve">Maximum </t>
  </si>
  <si>
    <t xml:space="preserve">Minimum </t>
  </si>
  <si>
    <t>Prot. eff.
[%]</t>
  </si>
  <si>
    <t>Spec. eff. [Bps/Hz]</t>
  </si>
  <si>
    <t>[Bauds/Hz]</t>
  </si>
  <si>
    <t>May be the PT-RS should be suppressed</t>
  </si>
  <si>
    <t>5G spectral efficiency and protocol efficiency</t>
  </si>
  <si>
    <t>This SCS value can only be used for MBMS.</t>
  </si>
  <si>
    <r>
      <t xml:space="preserve">It must be a multiples of </t>
    </r>
    <r>
      <rPr>
        <b/>
        <i/>
        <sz val="11"/>
        <color theme="1"/>
        <rFont val="Calibri"/>
        <family val="2"/>
        <scheme val="minor"/>
      </rPr>
      <t>M</t>
    </r>
    <r>
      <rPr>
        <b/>
        <i/>
        <vertAlign val="subscript"/>
        <sz val="11"/>
        <color theme="1"/>
        <rFont val="Calibri"/>
        <family val="2"/>
        <scheme val="minor"/>
      </rPr>
      <t>sc</t>
    </r>
    <r>
      <rPr>
        <b/>
        <i/>
        <vertAlign val="superscript"/>
        <sz val="11"/>
        <color theme="1"/>
        <rFont val="Calibri"/>
        <family val="2"/>
        <scheme val="minor"/>
      </rPr>
      <t>PUCCH</t>
    </r>
    <r>
      <rPr>
        <sz val="11"/>
        <color theme="1"/>
        <rFont val="Calibri"/>
        <family val="2"/>
        <scheme val="minor"/>
      </rPr>
      <t xml:space="preserve">. </t>
    </r>
  </si>
  <si>
    <t>It must be a multiples of 12.</t>
  </si>
  <si>
    <r>
      <t xml:space="preserve">It must be 1, 2 o 4. This guarantees that it is a divisor of </t>
    </r>
    <r>
      <rPr>
        <b/>
        <i/>
        <sz val="11"/>
        <color theme="1"/>
        <rFont val="Calibri"/>
        <family val="2"/>
        <scheme val="minor"/>
      </rPr>
      <t>M</t>
    </r>
    <r>
      <rPr>
        <b/>
        <i/>
        <vertAlign val="subscript"/>
        <sz val="11"/>
        <color theme="1"/>
        <rFont val="Calibri"/>
        <family val="2"/>
        <scheme val="minor"/>
      </rPr>
      <t>sc</t>
    </r>
    <r>
      <rPr>
        <b/>
        <i/>
        <vertAlign val="superscript"/>
        <sz val="11"/>
        <color theme="1"/>
        <rFont val="Calibri"/>
        <family val="2"/>
        <scheme val="minor"/>
      </rPr>
      <t>PUCCH</t>
    </r>
    <r>
      <rPr>
        <sz val="11"/>
        <color theme="1"/>
        <rFont val="Calibri"/>
        <family val="2"/>
        <scheme val="minor"/>
      </rPr>
      <t xml:space="preserve">. </t>
    </r>
  </si>
  <si>
    <t>The result of multiplying be Msymb/MscPUCCH must result in a value lesser than or equal to 14.</t>
  </si>
  <si>
    <r>
      <t xml:space="preserve">This is always an integer due to the value of </t>
    </r>
    <r>
      <rPr>
        <b/>
        <i/>
        <sz val="11"/>
        <color theme="1"/>
        <rFont val="Calibri"/>
        <family val="2"/>
        <scheme val="minor"/>
      </rPr>
      <t>N</t>
    </r>
    <r>
      <rPr>
        <b/>
        <i/>
        <vertAlign val="subscript"/>
        <sz val="11"/>
        <color theme="1"/>
        <rFont val="Calibri"/>
        <family val="2"/>
        <scheme val="minor"/>
      </rPr>
      <t>SF</t>
    </r>
    <r>
      <rPr>
        <b/>
        <i/>
        <vertAlign val="superscript"/>
        <sz val="11"/>
        <color theme="1"/>
        <rFont val="Calibri"/>
        <family val="2"/>
        <scheme val="minor"/>
      </rPr>
      <t>PUCCH</t>
    </r>
    <r>
      <rPr>
        <sz val="11"/>
        <color theme="1"/>
        <rFont val="Calibri"/>
        <family val="2"/>
        <scheme val="minor"/>
      </rPr>
      <t>. This value is the "</t>
    </r>
    <r>
      <rPr>
        <b/>
        <i/>
        <sz val="11"/>
        <color rgb="FFC00000"/>
        <rFont val="Calibri"/>
        <family val="2"/>
        <scheme val="minor"/>
      </rPr>
      <t>Step</t>
    </r>
    <r>
      <rPr>
        <sz val="11"/>
        <color theme="1"/>
        <rFont val="Calibri"/>
        <family val="2"/>
        <scheme val="minor"/>
      </rPr>
      <t>" (see below)</t>
    </r>
  </si>
  <si>
    <t>ATTENTION!!!: data that are highlighted in gree indicate not only the duration in symbol intervales for SCS=15 kHz, but also that it is the duration in symbols of the PRACH-specific subcarrier spacing that is in use.</t>
  </si>
  <si>
    <t>Speed of light</t>
  </si>
  <si>
    <t>km/sec.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</si>
</sst>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0.0"/>
    <numFmt numFmtId="165" formatCode="0.0"/>
    <numFmt numFmtId="166" formatCode="0.000"/>
    <numFmt numFmtId="167" formatCode="#,##0.000"/>
    <numFmt numFmtId="168" formatCode="0.000000000E+00"/>
    <numFmt numFmtId="169" formatCode="0.0000E+00"/>
    <numFmt numFmtId="170" formatCode="0.00000"/>
    <numFmt numFmtId="171" formatCode="0.0%"/>
    <numFmt numFmtId="172" formatCode="0.00000000000000%"/>
    <numFmt numFmtId="173" formatCode="0.0000000000000000000000"/>
    <numFmt numFmtId="174" formatCode="0.0E+00"/>
    <numFmt numFmtId="175" formatCode="0.0000"/>
    <numFmt numFmtId="176" formatCode="0.000%"/>
  </numFmts>
  <fonts count="97" x14ac:knownFonts="1">
    <font>
      <sz val="11"/>
      <color theme="1"/>
      <name val="Calibri"/>
      <family val="2"/>
      <scheme val="minor"/>
    </font>
    <font>
      <b/>
      <sz val="11"/>
      <color theme="1"/>
      <name val="Times New Roman"/>
      <family val="1"/>
    </font>
    <font>
      <sz val="11"/>
      <color theme="1"/>
      <name val="Times New Roman"/>
      <family val="1"/>
    </font>
    <font>
      <b/>
      <sz val="14"/>
      <color theme="1"/>
      <name val="Times New Roman"/>
      <family val="1"/>
    </font>
    <font>
      <u/>
      <sz val="11"/>
      <color theme="10"/>
      <name val="Calibri"/>
      <family val="2"/>
      <scheme val="minor"/>
    </font>
    <font>
      <b/>
      <sz val="11"/>
      <color theme="1"/>
      <name val="Calibri"/>
      <family val="2"/>
      <scheme val="minor"/>
    </font>
    <font>
      <b/>
      <sz val="14"/>
      <color theme="1"/>
      <name val="Calibri"/>
      <family val="2"/>
      <scheme val="minor"/>
    </font>
    <font>
      <sz val="9"/>
      <color indexed="81"/>
      <name val="Tahoma"/>
      <family val="2"/>
    </font>
    <font>
      <sz val="11"/>
      <color rgb="FF0070C0"/>
      <name val="Calibri"/>
      <family val="2"/>
      <scheme val="minor"/>
    </font>
    <font>
      <sz val="8"/>
      <name val="Calibri"/>
      <family val="2"/>
      <scheme val="minor"/>
    </font>
    <font>
      <sz val="11"/>
      <name val="Times New Roman"/>
      <family val="1"/>
    </font>
    <font>
      <b/>
      <sz val="11"/>
      <color theme="1"/>
      <name val="Symbol"/>
      <family val="1"/>
      <charset val="2"/>
    </font>
    <font>
      <b/>
      <sz val="11"/>
      <color rgb="FF0070C0"/>
      <name val="Times New Roman"/>
      <family val="1"/>
    </font>
    <font>
      <b/>
      <sz val="11"/>
      <color rgb="FF0070C0"/>
      <name val="Calibri"/>
      <family val="2"/>
      <scheme val="minor"/>
    </font>
    <font>
      <b/>
      <sz val="11"/>
      <color theme="1"/>
      <name val="Calibri"/>
      <family val="2"/>
    </font>
    <font>
      <b/>
      <sz val="11"/>
      <name val="Calibri"/>
      <family val="2"/>
      <scheme val="minor"/>
    </font>
    <font>
      <b/>
      <sz val="12"/>
      <color theme="1"/>
      <name val="Calibri"/>
      <family val="2"/>
      <scheme val="minor"/>
    </font>
    <font>
      <sz val="10"/>
      <color theme="1"/>
      <name val="Times New Roman"/>
      <family val="1"/>
    </font>
    <font>
      <b/>
      <sz val="10"/>
      <color theme="1"/>
      <name val="Times New Roman"/>
      <family val="1"/>
    </font>
    <font>
      <sz val="12"/>
      <color theme="1"/>
      <name val="Calibri"/>
      <family val="2"/>
      <scheme val="minor"/>
    </font>
    <font>
      <b/>
      <i/>
      <sz val="10"/>
      <color theme="1"/>
      <name val="Times New Roman"/>
      <family val="1"/>
    </font>
    <font>
      <b/>
      <sz val="10"/>
      <color rgb="FF000000"/>
      <name val="Times New Roman"/>
      <family val="1"/>
    </font>
    <font>
      <sz val="10"/>
      <color rgb="FF000000"/>
      <name val="Times New Roman"/>
      <family val="1"/>
    </font>
    <font>
      <b/>
      <i/>
      <sz val="10"/>
      <color rgb="FF000000"/>
      <name val="Times New Roman"/>
      <family val="1"/>
    </font>
    <font>
      <sz val="11"/>
      <name val="Calibri"/>
      <family val="2"/>
      <scheme val="minor"/>
    </font>
    <font>
      <sz val="11"/>
      <color rgb="FF000000"/>
      <name val="Times New Roman"/>
      <family val="1"/>
    </font>
    <font>
      <b/>
      <sz val="11"/>
      <color rgb="FF000000"/>
      <name val="Times New Roman"/>
      <family val="1"/>
    </font>
    <font>
      <b/>
      <i/>
      <sz val="11"/>
      <color rgb="FF000000"/>
      <name val="Times New Roman"/>
      <family val="1"/>
    </font>
    <font>
      <b/>
      <i/>
      <vertAlign val="subscript"/>
      <sz val="11"/>
      <color rgb="FF000000"/>
      <name val="Times New Roman"/>
      <family val="1"/>
    </font>
    <font>
      <sz val="9"/>
      <color indexed="8"/>
      <name val="Arial"/>
      <family val="2"/>
    </font>
    <font>
      <sz val="9"/>
      <color indexed="8"/>
      <name val="Arial"/>
      <family val="1"/>
      <charset val="204"/>
    </font>
    <font>
      <b/>
      <sz val="9"/>
      <color indexed="8"/>
      <name val="Arial"/>
      <family val="2"/>
    </font>
    <font>
      <sz val="11"/>
      <color theme="1"/>
      <name val="Calibri"/>
      <family val="2"/>
      <scheme val="minor"/>
    </font>
    <font>
      <b/>
      <vertAlign val="superscript"/>
      <sz val="10"/>
      <color rgb="FF000000"/>
      <name val="Times New Roman"/>
      <family val="1"/>
    </font>
    <font>
      <u/>
      <sz val="10"/>
      <color theme="10"/>
      <name val="Times New Roman"/>
      <family val="1"/>
    </font>
    <font>
      <b/>
      <vertAlign val="superscript"/>
      <sz val="10"/>
      <color theme="1"/>
      <name val="Times New Roman"/>
      <family val="1"/>
    </font>
    <font>
      <b/>
      <sz val="10"/>
      <color theme="1"/>
      <name val="Symbol"/>
      <family val="1"/>
      <charset val="2"/>
    </font>
    <font>
      <b/>
      <vertAlign val="subscript"/>
      <sz val="11"/>
      <color theme="1"/>
      <name val="Times New Roman"/>
      <family val="1"/>
    </font>
    <font>
      <b/>
      <sz val="11"/>
      <name val="Times New Roman"/>
      <family val="1"/>
    </font>
    <font>
      <b/>
      <vertAlign val="superscript"/>
      <sz val="11"/>
      <color theme="7" tint="-0.249977111117893"/>
      <name val="Times New Roman"/>
      <family val="1"/>
    </font>
    <font>
      <b/>
      <sz val="11"/>
      <color theme="7" tint="-0.249977111117893"/>
      <name val="Times New Roman"/>
      <family val="1"/>
    </font>
    <font>
      <b/>
      <u/>
      <sz val="11"/>
      <color theme="1"/>
      <name val="Times New Roman"/>
      <family val="1"/>
    </font>
    <font>
      <b/>
      <sz val="11"/>
      <color theme="1"/>
      <name val="Aptos Narrow"/>
      <family val="2"/>
    </font>
    <font>
      <b/>
      <u/>
      <sz val="14"/>
      <color theme="1"/>
      <name val="Calibri"/>
      <family val="2"/>
      <scheme val="minor"/>
    </font>
    <font>
      <b/>
      <sz val="11"/>
      <color rgb="FFC00000"/>
      <name val="Calibri"/>
      <family val="2"/>
      <scheme val="minor"/>
    </font>
    <font>
      <b/>
      <i/>
      <vertAlign val="subscript"/>
      <sz val="10"/>
      <color rgb="FF000000"/>
      <name val="Times New Roman"/>
      <family val="1"/>
    </font>
    <font>
      <b/>
      <i/>
      <vertAlign val="superscript"/>
      <sz val="10"/>
      <color rgb="FF000000"/>
      <name val="Times New Roman"/>
      <family val="1"/>
    </font>
    <font>
      <b/>
      <vertAlign val="subscript"/>
      <sz val="10"/>
      <color rgb="FF000000"/>
      <name val="Times New Roman"/>
      <family val="1"/>
    </font>
    <font>
      <b/>
      <vertAlign val="subscript"/>
      <sz val="10"/>
      <color theme="1"/>
      <name val="Times New Roman"/>
      <family val="1"/>
    </font>
    <font>
      <b/>
      <i/>
      <sz val="11"/>
      <color theme="1"/>
      <name val="Times New Roman"/>
      <family val="1"/>
    </font>
    <font>
      <b/>
      <vertAlign val="superscript"/>
      <sz val="11"/>
      <color rgb="FF000000"/>
      <name val="Times New Roman"/>
      <family val="1"/>
    </font>
    <font>
      <vertAlign val="superscript"/>
      <sz val="11"/>
      <color theme="1"/>
      <name val="Times New Roman"/>
      <family val="1"/>
    </font>
    <font>
      <vertAlign val="subscript"/>
      <sz val="11"/>
      <color theme="1"/>
      <name val="Times New Roman"/>
      <family val="1"/>
    </font>
    <font>
      <sz val="10"/>
      <color rgb="FFFF0000"/>
      <name val="Times New Roman"/>
      <family val="1"/>
    </font>
    <font>
      <b/>
      <sz val="9"/>
      <color rgb="FF548235"/>
      <name val="Courier New"/>
      <family val="3"/>
    </font>
    <font>
      <b/>
      <sz val="9"/>
      <color rgb="FF0070C0"/>
      <name val="Courier New"/>
      <family val="3"/>
    </font>
    <font>
      <sz val="10"/>
      <color rgb="FF0070C0"/>
      <name val="Times New Roman"/>
      <family val="1"/>
    </font>
    <font>
      <b/>
      <sz val="10"/>
      <color rgb="FF548235"/>
      <name val="Courier New"/>
      <family val="3"/>
    </font>
    <font>
      <sz val="10"/>
      <name val="Times New Roman"/>
      <family val="1"/>
    </font>
    <font>
      <b/>
      <sz val="10"/>
      <color rgb="FF0070C0"/>
      <name val="Courier New"/>
      <family val="3"/>
    </font>
    <font>
      <b/>
      <sz val="11"/>
      <color theme="1"/>
      <name val="Times New Roman"/>
      <family val="3"/>
    </font>
    <font>
      <b/>
      <sz val="9"/>
      <color rgb="FF0070C0"/>
      <name val="Courier New"/>
      <family val="1"/>
    </font>
    <font>
      <b/>
      <sz val="10"/>
      <name val="Times New Roman"/>
      <family val="1"/>
    </font>
    <font>
      <b/>
      <sz val="9"/>
      <name val="Courier New"/>
      <family val="3"/>
    </font>
    <font>
      <b/>
      <sz val="9"/>
      <color indexed="81"/>
      <name val="Tahoma"/>
      <family val="2"/>
    </font>
    <font>
      <b/>
      <i/>
      <sz val="11"/>
      <color theme="1"/>
      <name val="Calibri"/>
      <family val="2"/>
      <scheme val="minor"/>
    </font>
    <font>
      <b/>
      <i/>
      <vertAlign val="subscript"/>
      <sz val="11"/>
      <color theme="1"/>
      <name val="Calibri"/>
      <family val="2"/>
      <scheme val="minor"/>
    </font>
    <font>
      <b/>
      <i/>
      <vertAlign val="superscript"/>
      <sz val="11"/>
      <color theme="1"/>
      <name val="Calibri"/>
      <family val="2"/>
      <scheme val="minor"/>
    </font>
    <font>
      <b/>
      <i/>
      <sz val="11"/>
      <color rgb="FF7030A0"/>
      <name val="Calibri"/>
      <family val="2"/>
      <scheme val="minor"/>
    </font>
    <font>
      <sz val="11"/>
      <color rgb="FF7030A0"/>
      <name val="Calibri"/>
      <family val="2"/>
      <scheme val="minor"/>
    </font>
    <font>
      <b/>
      <i/>
      <sz val="11"/>
      <color rgb="FF00B0F0"/>
      <name val="Calibri"/>
      <family val="2"/>
      <scheme val="minor"/>
    </font>
    <font>
      <sz val="11"/>
      <color rgb="FF00B0F0"/>
      <name val="Calibri"/>
      <family val="2"/>
      <scheme val="minor"/>
    </font>
    <font>
      <b/>
      <i/>
      <sz val="11"/>
      <color rgb="FF00B050"/>
      <name val="Calibri"/>
      <family val="2"/>
      <scheme val="minor"/>
    </font>
    <font>
      <b/>
      <i/>
      <vertAlign val="subscript"/>
      <sz val="11"/>
      <color rgb="FF00B0F0"/>
      <name val="Calibri"/>
      <family val="2"/>
      <scheme val="minor"/>
    </font>
    <font>
      <sz val="11"/>
      <color rgb="FF00B050"/>
      <name val="Calibri"/>
      <family val="2"/>
      <scheme val="minor"/>
    </font>
    <font>
      <b/>
      <i/>
      <sz val="11"/>
      <name val="Calibri"/>
      <family val="2"/>
      <scheme val="minor"/>
    </font>
    <font>
      <b/>
      <i/>
      <vertAlign val="subscript"/>
      <sz val="11"/>
      <name val="Calibri"/>
      <family val="2"/>
      <scheme val="minor"/>
    </font>
    <font>
      <b/>
      <i/>
      <vertAlign val="superscript"/>
      <sz val="11"/>
      <name val="Calibri"/>
      <family val="2"/>
      <scheme val="minor"/>
    </font>
    <font>
      <b/>
      <i/>
      <sz val="11"/>
      <color rgb="FFC00000"/>
      <name val="Calibri"/>
      <family val="2"/>
      <scheme val="minor"/>
    </font>
    <font>
      <b/>
      <sz val="11"/>
      <color rgb="FF7030A0"/>
      <name val="Calibri"/>
      <family val="2"/>
      <scheme val="minor"/>
    </font>
    <font>
      <b/>
      <sz val="11"/>
      <color rgb="FF7030A0"/>
      <name val="Times New Roman"/>
      <family val="1"/>
    </font>
    <font>
      <b/>
      <sz val="11"/>
      <color theme="9" tint="-0.249977111117893"/>
      <name val="Calibri"/>
      <family val="2"/>
      <scheme val="minor"/>
    </font>
    <font>
      <b/>
      <sz val="11"/>
      <color rgb="FF00B0F0"/>
      <name val="Calibri"/>
      <family val="2"/>
      <scheme val="minor"/>
    </font>
    <font>
      <b/>
      <sz val="11"/>
      <color theme="3" tint="9.9978637043366805E-2"/>
      <name val="Calibri"/>
      <family val="2"/>
      <scheme val="minor"/>
    </font>
    <font>
      <sz val="11"/>
      <color theme="3" tint="9.9978637043366805E-2"/>
      <name val="Calibri"/>
      <family val="2"/>
      <scheme val="minor"/>
    </font>
    <font>
      <b/>
      <sz val="11"/>
      <color theme="8" tint="0.59999389629810485"/>
      <name val="Calibri"/>
      <family val="2"/>
      <scheme val="minor"/>
    </font>
    <font>
      <sz val="11"/>
      <color theme="8" tint="0.59999389629810485"/>
      <name val="Calibri"/>
      <family val="2"/>
      <scheme val="minor"/>
    </font>
    <font>
      <b/>
      <sz val="11"/>
      <color theme="8" tint="-0.499984740745262"/>
      <name val="Calibri"/>
      <family val="2"/>
      <scheme val="minor"/>
    </font>
    <font>
      <sz val="11"/>
      <color theme="8" tint="-0.499984740745262"/>
      <name val="Calibri"/>
      <family val="2"/>
      <scheme val="minor"/>
    </font>
    <font>
      <sz val="11"/>
      <color theme="9" tint="-0.249977111117893"/>
      <name val="Calibri"/>
      <family val="2"/>
      <scheme val="minor"/>
    </font>
    <font>
      <b/>
      <sz val="11"/>
      <color theme="0" tint="-0.499984740745262"/>
      <name val="Calibri"/>
      <family val="2"/>
      <scheme val="minor"/>
    </font>
    <font>
      <sz val="11"/>
      <color theme="0" tint="-0.499984740745262"/>
      <name val="Calibri"/>
      <family val="2"/>
      <scheme val="minor"/>
    </font>
    <font>
      <b/>
      <i/>
      <sz val="11"/>
      <color theme="5" tint="-0.499984740745262"/>
      <name val="Calibri"/>
      <family val="2"/>
      <scheme val="minor"/>
    </font>
    <font>
      <sz val="11"/>
      <color theme="5" tint="-0.499984740745262"/>
      <name val="Calibri"/>
      <family val="2"/>
      <scheme val="minor"/>
    </font>
    <font>
      <b/>
      <sz val="11"/>
      <color theme="9" tint="-0.249977111117893"/>
      <name val="Aptos Narrow"/>
      <family val="2"/>
    </font>
    <font>
      <sz val="11"/>
      <color rgb="FFC00000"/>
      <name val="Calibri"/>
      <family val="2"/>
      <scheme val="minor"/>
    </font>
    <font>
      <sz val="11"/>
      <color rgb="FFFF0000"/>
      <name val="Calibri"/>
      <family val="2"/>
      <scheme val="minor"/>
    </font>
  </fonts>
  <fills count="16">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rgb="FFD9D9D9"/>
        <bgColor indexed="64"/>
      </patternFill>
    </fill>
    <fill>
      <patternFill patternType="solid">
        <fgColor theme="2" tint="-9.9978637043366805E-2"/>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FFCC"/>
        <bgColor indexed="64"/>
      </patternFill>
    </fill>
    <fill>
      <patternFill patternType="solid">
        <fgColor theme="7" tint="0.79998168889431442"/>
        <bgColor indexed="64"/>
      </patternFill>
    </fill>
    <fill>
      <patternFill patternType="solid">
        <fgColor theme="8" tint="0.79998168889431442"/>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double">
        <color indexed="64"/>
      </right>
      <top style="thin">
        <color indexed="64"/>
      </top>
      <bottom/>
      <diagonal/>
    </border>
    <border>
      <left/>
      <right style="double">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style="double">
        <color indexed="64"/>
      </bottom>
      <diagonal/>
    </border>
    <border>
      <left/>
      <right/>
      <top/>
      <bottom style="double">
        <color indexed="64"/>
      </bottom>
      <diagonal/>
    </border>
    <border>
      <left style="double">
        <color indexed="64"/>
      </left>
      <right style="thin">
        <color indexed="64"/>
      </right>
      <top style="thin">
        <color indexed="64"/>
      </top>
      <bottom style="thin">
        <color indexed="64"/>
      </bottom>
      <diagonal/>
    </border>
    <border>
      <left style="medium">
        <color indexed="64"/>
      </left>
      <right style="double">
        <color indexed="64"/>
      </right>
      <top/>
      <bottom style="medium">
        <color indexed="64"/>
      </bottom>
      <diagonal/>
    </border>
    <border>
      <left/>
      <right style="medium">
        <color indexed="64"/>
      </right>
      <top/>
      <bottom style="medium">
        <color indexed="64"/>
      </bottom>
      <diagonal/>
    </border>
    <border>
      <left style="medium">
        <color indexed="64"/>
      </left>
      <right style="double">
        <color indexed="64"/>
      </right>
      <top style="thin">
        <color indexed="64"/>
      </top>
      <bottom style="double">
        <color indexed="64"/>
      </bottom>
      <diagonal/>
    </border>
    <border>
      <left/>
      <right style="medium">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top style="thin">
        <color indexed="64"/>
      </top>
      <bottom/>
      <diagonal/>
    </border>
    <border>
      <left/>
      <right/>
      <top/>
      <bottom style="thin">
        <color indexed="64"/>
      </bottom>
      <diagonal/>
    </border>
    <border>
      <left style="double">
        <color indexed="64"/>
      </left>
      <right/>
      <top/>
      <bottom style="thin">
        <color indexed="64"/>
      </bottom>
      <diagonal/>
    </border>
    <border>
      <left/>
      <right style="double">
        <color indexed="64"/>
      </right>
      <top style="double">
        <color indexed="64"/>
      </top>
      <bottom style="thin">
        <color indexed="64"/>
      </bottom>
      <diagonal/>
    </border>
    <border>
      <left style="thin">
        <color indexed="64"/>
      </left>
      <right style="double">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bottom/>
      <diagonal/>
    </border>
    <border>
      <left/>
      <right style="medium">
        <color indexed="64"/>
      </right>
      <top/>
      <bottom style="double">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s>
  <cellStyleXfs count="3">
    <xf numFmtId="0" fontId="0" fillId="0" borderId="0"/>
    <xf numFmtId="0" fontId="4" fillId="0" borderId="0" applyNumberFormat="0" applyFill="0" applyBorder="0" applyAlignment="0" applyProtection="0"/>
    <xf numFmtId="9" fontId="32" fillId="0" borderId="0" applyFont="0" applyFill="0" applyBorder="0" applyAlignment="0" applyProtection="0"/>
  </cellStyleXfs>
  <cellXfs count="968">
    <xf numFmtId="0" fontId="0" fillId="0" borderId="0" xfId="0"/>
    <xf numFmtId="0" fontId="2" fillId="0" borderId="0" xfId="0" applyFont="1"/>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xf numFmtId="0" fontId="0" fillId="0" borderId="1" xfId="0" applyBorder="1" applyAlignment="1">
      <alignment horizontal="center"/>
    </xf>
    <xf numFmtId="0" fontId="5" fillId="0" borderId="1" xfId="0" applyFont="1" applyBorder="1" applyAlignment="1">
      <alignment horizontal="center" vertical="center" wrapText="1"/>
    </xf>
    <xf numFmtId="3" fontId="0" fillId="0" borderId="1" xfId="0" applyNumberFormat="1" applyBorder="1" applyAlignment="1">
      <alignment horizontal="center" vertical="center"/>
    </xf>
    <xf numFmtId="0" fontId="6" fillId="0" borderId="0" xfId="0" applyFont="1"/>
    <xf numFmtId="0" fontId="0" fillId="0" borderId="0" xfId="0" applyAlignment="1">
      <alignment horizontal="center"/>
    </xf>
    <xf numFmtId="0" fontId="5" fillId="0" borderId="0" xfId="0" applyFont="1"/>
    <xf numFmtId="0" fontId="3" fillId="0" borderId="0" xfId="0" applyFont="1" applyAlignment="1">
      <alignment horizontal="left" vertical="center"/>
    </xf>
    <xf numFmtId="0" fontId="2" fillId="0" borderId="0" xfId="0" applyFont="1" applyAlignment="1">
      <alignment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vertical="center"/>
    </xf>
    <xf numFmtId="164" fontId="0" fillId="0" borderId="1" xfId="0" applyNumberFormat="1" applyBorder="1" applyAlignment="1">
      <alignment horizontal="center" vertical="center"/>
    </xf>
    <xf numFmtId="4" fontId="0" fillId="0" borderId="0" xfId="0" applyNumberFormat="1" applyAlignment="1">
      <alignment vertical="center"/>
    </xf>
    <xf numFmtId="4" fontId="0" fillId="0" borderId="1" xfId="0" applyNumberFormat="1" applyBorder="1" applyAlignment="1">
      <alignment vertical="center"/>
    </xf>
    <xf numFmtId="4"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4" fontId="5" fillId="0" borderId="0" xfId="0" applyNumberFormat="1" applyFont="1" applyAlignment="1">
      <alignment vertical="center"/>
    </xf>
    <xf numFmtId="3" fontId="0" fillId="0" borderId="0" xfId="0" applyNumberFormat="1" applyAlignment="1">
      <alignment vertical="center"/>
    </xf>
    <xf numFmtId="164" fontId="8" fillId="0" borderId="1" xfId="0" applyNumberFormat="1" applyFont="1" applyBorder="1" applyAlignment="1">
      <alignment horizontal="center" vertical="center"/>
    </xf>
    <xf numFmtId="3" fontId="8" fillId="0" borderId="1" xfId="0" applyNumberFormat="1" applyFont="1" applyBorder="1" applyAlignment="1">
      <alignment horizontal="center" vertical="center"/>
    </xf>
    <xf numFmtId="0" fontId="0" fillId="3" borderId="1" xfId="0" applyFill="1" applyBorder="1" applyAlignment="1">
      <alignment horizontal="center"/>
    </xf>
    <xf numFmtId="0" fontId="0" fillId="3" borderId="1" xfId="0" applyFill="1" applyBorder="1" applyAlignment="1">
      <alignment horizontal="left"/>
    </xf>
    <xf numFmtId="0" fontId="5" fillId="0" borderId="0" xfId="0" applyFont="1" applyAlignment="1">
      <alignment horizontal="center" vertical="center" wrapText="1"/>
    </xf>
    <xf numFmtId="3" fontId="0" fillId="0" borderId="0" xfId="0" applyNumberFormat="1" applyAlignment="1">
      <alignment horizontal="center"/>
    </xf>
    <xf numFmtId="3" fontId="0" fillId="3" borderId="2" xfId="0" applyNumberFormat="1" applyFill="1" applyBorder="1" applyAlignment="1">
      <alignment horizontal="center"/>
    </xf>
    <xf numFmtId="0" fontId="0" fillId="0" borderId="8" xfId="0" applyBorder="1" applyAlignment="1">
      <alignment horizontal="center"/>
    </xf>
    <xf numFmtId="0" fontId="5" fillId="0" borderId="6" xfId="0" applyFont="1" applyBorder="1" applyAlignment="1">
      <alignment horizontal="center" vertical="center"/>
    </xf>
    <xf numFmtId="164" fontId="2" fillId="0" borderId="1" xfId="0" applyNumberFormat="1" applyFont="1" applyBorder="1" applyAlignment="1">
      <alignment horizontal="center" vertical="center"/>
    </xf>
    <xf numFmtId="0" fontId="1" fillId="0" borderId="0" xfId="0" applyFont="1"/>
    <xf numFmtId="165" fontId="2" fillId="0" borderId="1" xfId="0" applyNumberFormat="1" applyFont="1" applyBorder="1" applyAlignment="1">
      <alignment horizontal="center" vertical="center"/>
    </xf>
    <xf numFmtId="1" fontId="2" fillId="0" borderId="1" xfId="0" applyNumberFormat="1" applyFont="1" applyBorder="1" applyAlignment="1">
      <alignment horizontal="center" vertical="center"/>
    </xf>
    <xf numFmtId="0" fontId="12" fillId="0" borderId="1" xfId="0" applyFont="1" applyBorder="1" applyAlignment="1">
      <alignment horizontal="center" vertical="center"/>
    </xf>
    <xf numFmtId="0" fontId="10" fillId="0" borderId="1" xfId="0" applyFont="1"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xf numFmtId="3" fontId="12" fillId="0" borderId="1" xfId="0" applyNumberFormat="1" applyFont="1" applyBorder="1" applyAlignment="1">
      <alignment horizontal="right"/>
    </xf>
    <xf numFmtId="3" fontId="12" fillId="0" borderId="0" xfId="0" applyNumberFormat="1" applyFont="1" applyAlignment="1">
      <alignment horizontal="right"/>
    </xf>
    <xf numFmtId="0" fontId="5" fillId="0" borderId="0" xfId="0" applyFont="1" applyAlignment="1">
      <alignment vertical="center"/>
    </xf>
    <xf numFmtId="168" fontId="0" fillId="0" borderId="0" xfId="0" applyNumberFormat="1" applyAlignment="1">
      <alignment vertical="center"/>
    </xf>
    <xf numFmtId="3" fontId="0" fillId="0" borderId="1" xfId="0" applyNumberFormat="1" applyBorder="1" applyAlignment="1">
      <alignment vertical="center"/>
    </xf>
    <xf numFmtId="0" fontId="5" fillId="2" borderId="1" xfId="0" applyFont="1" applyFill="1" applyBorder="1" applyAlignment="1">
      <alignment horizontal="center" vertical="center"/>
    </xf>
    <xf numFmtId="0" fontId="0" fillId="2" borderId="1" xfId="0" applyFill="1" applyBorder="1" applyAlignment="1">
      <alignment horizontal="center" vertical="center"/>
    </xf>
    <xf numFmtId="0" fontId="5" fillId="2" borderId="1" xfId="0" applyFont="1" applyFill="1" applyBorder="1" applyAlignment="1">
      <alignment horizontal="center" vertical="center" wrapText="1"/>
    </xf>
    <xf numFmtId="166" fontId="0" fillId="0" borderId="1" xfId="0" applyNumberFormat="1" applyBorder="1" applyAlignment="1">
      <alignment vertical="center"/>
    </xf>
    <xf numFmtId="169" fontId="0" fillId="0" borderId="1" xfId="0" applyNumberFormat="1" applyBorder="1" applyAlignment="1">
      <alignment horizontal="center" vertical="center"/>
    </xf>
    <xf numFmtId="1" fontId="0" fillId="0" borderId="1" xfId="0" applyNumberFormat="1" applyBorder="1" applyAlignment="1">
      <alignment vertical="center"/>
    </xf>
    <xf numFmtId="4" fontId="0" fillId="0" borderId="1" xfId="0" applyNumberFormat="1" applyBorder="1" applyAlignment="1">
      <alignment horizontal="center" vertical="center"/>
    </xf>
    <xf numFmtId="0" fontId="5" fillId="0" borderId="0" xfId="0" applyFont="1" applyAlignment="1">
      <alignment horizontal="center" vertical="center"/>
    </xf>
    <xf numFmtId="4" fontId="0" fillId="0" borderId="0" xfId="0" applyNumberFormat="1" applyAlignment="1">
      <alignment horizontal="center" vertical="center"/>
    </xf>
    <xf numFmtId="3" fontId="0" fillId="2" borderId="1" xfId="0" applyNumberFormat="1" applyFill="1" applyBorder="1" applyAlignment="1">
      <alignment horizontal="center" vertical="center"/>
    </xf>
    <xf numFmtId="167" fontId="0" fillId="0" borderId="1" xfId="0" applyNumberFormat="1" applyBorder="1" applyAlignment="1">
      <alignment horizontal="center" vertical="center"/>
    </xf>
    <xf numFmtId="0" fontId="5" fillId="2" borderId="6" xfId="0" applyFont="1" applyFill="1" applyBorder="1" applyAlignment="1">
      <alignment horizontal="center" vertical="center" wrapText="1"/>
    </xf>
    <xf numFmtId="0" fontId="5" fillId="0" borderId="2" xfId="0" applyFont="1" applyBorder="1" applyAlignment="1">
      <alignment vertical="center"/>
    </xf>
    <xf numFmtId="166" fontId="0" fillId="0" borderId="1" xfId="0" applyNumberFormat="1" applyBorder="1" applyAlignment="1">
      <alignment horizontal="center" vertical="center"/>
    </xf>
    <xf numFmtId="0" fontId="5" fillId="2" borderId="0" xfId="0" applyFont="1" applyFill="1" applyAlignment="1">
      <alignment horizontal="center" vertical="center"/>
    </xf>
    <xf numFmtId="4" fontId="0" fillId="5" borderId="1" xfId="0" applyNumberFormat="1" applyFill="1" applyBorder="1" applyAlignment="1">
      <alignment horizontal="center" vertical="center"/>
    </xf>
    <xf numFmtId="0" fontId="0" fillId="5" borderId="0" xfId="0" applyFill="1" applyAlignment="1">
      <alignment vertical="center"/>
    </xf>
    <xf numFmtId="164" fontId="0" fillId="5" borderId="1" xfId="0" applyNumberFormat="1" applyFill="1" applyBorder="1" applyAlignment="1">
      <alignment horizontal="center" vertical="center"/>
    </xf>
    <xf numFmtId="0" fontId="5" fillId="2" borderId="6" xfId="0" applyFont="1" applyFill="1" applyBorder="1" applyAlignment="1">
      <alignment horizontal="center" vertical="center"/>
    </xf>
    <xf numFmtId="0" fontId="5" fillId="6" borderId="0" xfId="0" applyFont="1" applyFill="1" applyAlignment="1">
      <alignment vertical="center"/>
    </xf>
    <xf numFmtId="0" fontId="0" fillId="6" borderId="0" xfId="0" applyFill="1" applyAlignment="1">
      <alignment vertical="center"/>
    </xf>
    <xf numFmtId="166" fontId="0" fillId="0" borderId="0" xfId="0" applyNumberFormat="1" applyAlignment="1">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4" borderId="0" xfId="0" applyFill="1" applyAlignment="1">
      <alignment vertical="center"/>
    </xf>
    <xf numFmtId="164" fontId="0" fillId="2" borderId="1" xfId="0" applyNumberFormat="1" applyFill="1" applyBorder="1" applyAlignment="1">
      <alignment horizontal="center" vertical="center"/>
    </xf>
    <xf numFmtId="0" fontId="13" fillId="4" borderId="0" xfId="0" applyFont="1" applyFill="1" applyAlignment="1">
      <alignment vertical="center"/>
    </xf>
    <xf numFmtId="0" fontId="5" fillId="0" borderId="6" xfId="0" applyFont="1" applyBorder="1" applyAlignment="1">
      <alignment vertical="center"/>
    </xf>
    <xf numFmtId="0" fontId="5" fillId="0" borderId="6" xfId="0" applyFont="1" applyBorder="1" applyAlignment="1">
      <alignment vertical="center" wrapText="1"/>
    </xf>
    <xf numFmtId="0" fontId="5" fillId="0" borderId="4" xfId="0" applyFont="1" applyBorder="1" applyAlignment="1">
      <alignment vertical="center"/>
    </xf>
    <xf numFmtId="0" fontId="5" fillId="0" borderId="1" xfId="0" applyFont="1" applyBorder="1" applyAlignment="1">
      <alignment horizontal="center"/>
    </xf>
    <xf numFmtId="0" fontId="5" fillId="0" borderId="0" xfId="0" quotePrefix="1" applyFont="1"/>
    <xf numFmtId="0" fontId="13" fillId="0" borderId="0" xfId="0" applyFont="1"/>
    <xf numFmtId="0" fontId="15" fillId="0" borderId="1" xfId="0" applyFont="1" applyBorder="1" applyAlignment="1">
      <alignment horizontal="center"/>
    </xf>
    <xf numFmtId="0" fontId="0" fillId="0" borderId="1" xfId="0" applyBorder="1"/>
    <xf numFmtId="0" fontId="13" fillId="0" borderId="1" xfId="0" applyFont="1" applyBorder="1" applyAlignment="1">
      <alignment horizontal="center"/>
    </xf>
    <xf numFmtId="0" fontId="16" fillId="0" borderId="0" xfId="0" applyFont="1"/>
    <xf numFmtId="0" fontId="3" fillId="0" borderId="0" xfId="0" applyFont="1" applyAlignment="1">
      <alignment vertical="center"/>
    </xf>
    <xf numFmtId="0" fontId="19" fillId="0" borderId="0" xfId="0" applyFont="1"/>
    <xf numFmtId="0" fontId="17" fillId="0" borderId="0" xfId="0" applyFont="1" applyAlignment="1">
      <alignment horizontal="center" vertical="center" wrapText="1"/>
    </xf>
    <xf numFmtId="0" fontId="20" fillId="0" borderId="0" xfId="0" applyFont="1" applyAlignment="1">
      <alignment horizontal="center" vertical="center" wrapText="1"/>
    </xf>
    <xf numFmtId="0" fontId="23" fillId="0" borderId="0" xfId="0" applyFont="1" applyAlignment="1">
      <alignment horizontal="center" vertical="center" wrapText="1"/>
    </xf>
    <xf numFmtId="0" fontId="21" fillId="8"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3" fillId="0" borderId="1" xfId="0" applyFont="1" applyBorder="1" applyAlignment="1">
      <alignment horizontal="center" vertical="center" wrapText="1"/>
    </xf>
    <xf numFmtId="164" fontId="0" fillId="0" borderId="0" xfId="0" applyNumberFormat="1" applyAlignment="1">
      <alignment horizontal="center" vertical="center"/>
    </xf>
    <xf numFmtId="3" fontId="0" fillId="5" borderId="1" xfId="0" applyNumberFormat="1" applyFill="1" applyBorder="1" applyAlignment="1">
      <alignment horizontal="center" vertical="center"/>
    </xf>
    <xf numFmtId="167" fontId="0" fillId="5" borderId="1" xfId="0" applyNumberFormat="1" applyFill="1" applyBorder="1" applyAlignment="1">
      <alignment horizontal="center" vertical="center"/>
    </xf>
    <xf numFmtId="0" fontId="5" fillId="0" borderId="3" xfId="0" applyFont="1" applyBorder="1" applyAlignment="1">
      <alignment vertical="center"/>
    </xf>
    <xf numFmtId="170" fontId="0" fillId="0" borderId="1" xfId="0" applyNumberFormat="1" applyBorder="1" applyAlignment="1">
      <alignment horizontal="center" vertical="center"/>
    </xf>
    <xf numFmtId="0" fontId="8" fillId="0" borderId="1" xfId="0" applyFont="1" applyBorder="1" applyAlignment="1">
      <alignment horizontal="center"/>
    </xf>
    <xf numFmtId="0" fontId="0" fillId="2" borderId="6" xfId="0" applyFill="1" applyBorder="1" applyAlignment="1">
      <alignment horizontal="center" vertical="center" wrapText="1"/>
    </xf>
    <xf numFmtId="167" fontId="25" fillId="0" borderId="1" xfId="0" applyNumberFormat="1" applyFont="1" applyBorder="1" applyAlignment="1">
      <alignment vertical="center" wrapText="1"/>
    </xf>
    <xf numFmtId="3" fontId="25" fillId="0" borderId="1" xfId="0" applyNumberFormat="1" applyFont="1" applyBorder="1" applyAlignment="1">
      <alignment vertical="center" wrapText="1"/>
    </xf>
    <xf numFmtId="0" fontId="26" fillId="8" borderId="6" xfId="0" applyFont="1" applyFill="1" applyBorder="1" applyAlignment="1">
      <alignment horizontal="center" vertical="center" wrapText="1"/>
    </xf>
    <xf numFmtId="167" fontId="25" fillId="0" borderId="4" xfId="0" applyNumberFormat="1" applyFont="1" applyBorder="1" applyAlignment="1">
      <alignment vertical="center" wrapText="1"/>
    </xf>
    <xf numFmtId="3" fontId="25" fillId="0" borderId="4" xfId="0" applyNumberFormat="1" applyFont="1" applyBorder="1" applyAlignment="1">
      <alignment vertical="center" wrapText="1"/>
    </xf>
    <xf numFmtId="0" fontId="26" fillId="8" borderId="31" xfId="0" applyFont="1" applyFill="1" applyBorder="1" applyAlignment="1">
      <alignment horizontal="center" vertical="center" wrapText="1"/>
    </xf>
    <xf numFmtId="0" fontId="27" fillId="8" borderId="31" xfId="0" applyFont="1" applyFill="1" applyBorder="1" applyAlignment="1">
      <alignment horizontal="center" vertical="center" wrapText="1"/>
    </xf>
    <xf numFmtId="0" fontId="27" fillId="8" borderId="32" xfId="0" applyFont="1" applyFill="1" applyBorder="1" applyAlignment="1">
      <alignment horizontal="center" vertical="center" wrapText="1"/>
    </xf>
    <xf numFmtId="0" fontId="0" fillId="0" borderId="1" xfId="0" applyBorder="1" applyAlignment="1">
      <alignment vertical="center"/>
    </xf>
    <xf numFmtId="0" fontId="0" fillId="2" borderId="20" xfId="0" applyFill="1" applyBorder="1" applyAlignment="1">
      <alignment horizontal="center" vertical="center" wrapText="1"/>
    </xf>
    <xf numFmtId="167" fontId="0" fillId="0" borderId="19" xfId="0" applyNumberFormat="1" applyBorder="1" applyAlignment="1">
      <alignment vertical="center"/>
    </xf>
    <xf numFmtId="3" fontId="13" fillId="0" borderId="19" xfId="0" applyNumberFormat="1" applyFont="1" applyBorder="1" applyAlignment="1">
      <alignment vertical="center"/>
    </xf>
    <xf numFmtId="4" fontId="0" fillId="0" borderId="18" xfId="0" applyNumberFormat="1" applyBorder="1" applyAlignment="1">
      <alignment horizontal="center" vertical="center"/>
    </xf>
    <xf numFmtId="0" fontId="0" fillId="2" borderId="17" xfId="0" applyFill="1" applyBorder="1" applyAlignment="1">
      <alignment horizontal="center" vertical="center" wrapText="1"/>
    </xf>
    <xf numFmtId="167" fontId="0" fillId="0" borderId="1" xfId="0" applyNumberFormat="1" applyBorder="1" applyAlignment="1">
      <alignment vertical="center"/>
    </xf>
    <xf numFmtId="3" fontId="13" fillId="0" borderId="1" xfId="0" applyNumberFormat="1" applyFont="1" applyBorder="1" applyAlignment="1">
      <alignment vertical="center"/>
    </xf>
    <xf numFmtId="4" fontId="0" fillId="0" borderId="16" xfId="0" applyNumberFormat="1" applyBorder="1" applyAlignment="1">
      <alignment horizontal="center" vertical="center"/>
    </xf>
    <xf numFmtId="0" fontId="0" fillId="2" borderId="15" xfId="0" applyFill="1" applyBorder="1" applyAlignment="1">
      <alignment horizontal="center" vertical="center" wrapText="1"/>
    </xf>
    <xf numFmtId="167" fontId="0" fillId="0" borderId="14" xfId="0" applyNumberFormat="1" applyBorder="1" applyAlignment="1">
      <alignment vertical="center"/>
    </xf>
    <xf numFmtId="3" fontId="13" fillId="0" borderId="14" xfId="0" applyNumberFormat="1" applyFont="1" applyBorder="1" applyAlignment="1">
      <alignment vertical="center"/>
    </xf>
    <xf numFmtId="4" fontId="0" fillId="0" borderId="13" xfId="0" applyNumberFormat="1" applyBorder="1" applyAlignment="1">
      <alignment horizontal="center" vertical="center"/>
    </xf>
    <xf numFmtId="0" fontId="0" fillId="2" borderId="37" xfId="0" applyFill="1" applyBorder="1" applyAlignment="1">
      <alignment horizontal="center" vertical="center" wrapText="1"/>
    </xf>
    <xf numFmtId="167" fontId="13" fillId="0" borderId="6" xfId="0" applyNumberFormat="1" applyFont="1" applyBorder="1" applyAlignment="1">
      <alignment vertical="center"/>
    </xf>
    <xf numFmtId="0" fontId="0" fillId="0" borderId="6" xfId="0" applyBorder="1" applyAlignment="1">
      <alignment horizontal="center" vertical="center"/>
    </xf>
    <xf numFmtId="167" fontId="5" fillId="0" borderId="1" xfId="0" applyNumberFormat="1" applyFont="1" applyBorder="1" applyAlignment="1">
      <alignment vertical="center"/>
    </xf>
    <xf numFmtId="0" fontId="0" fillId="2" borderId="1" xfId="0" applyFill="1" applyBorder="1" applyAlignment="1">
      <alignment horizontal="center" vertical="center" wrapText="1"/>
    </xf>
    <xf numFmtId="0" fontId="24" fillId="0" borderId="1" xfId="0" applyFont="1" applyBorder="1" applyAlignment="1">
      <alignment horizontal="center" vertical="center"/>
    </xf>
    <xf numFmtId="167" fontId="0" fillId="0" borderId="17" xfId="0" applyNumberFormat="1" applyBorder="1" applyAlignment="1">
      <alignment vertical="center"/>
    </xf>
    <xf numFmtId="0" fontId="13" fillId="0" borderId="1" xfId="0" applyFont="1" applyBorder="1" applyAlignment="1">
      <alignment horizontal="center" vertical="center"/>
    </xf>
    <xf numFmtId="0" fontId="0" fillId="2" borderId="17" xfId="0" applyFill="1" applyBorder="1" applyAlignment="1">
      <alignment horizontal="center" vertical="center"/>
    </xf>
    <xf numFmtId="167" fontId="13" fillId="0" borderId="14" xfId="0" applyNumberFormat="1" applyFont="1" applyBorder="1" applyAlignment="1">
      <alignment vertical="center"/>
    </xf>
    <xf numFmtId="0" fontId="0" fillId="2" borderId="14" xfId="0" applyFill="1" applyBorder="1" applyAlignment="1">
      <alignment horizontal="center" vertical="center" wrapText="1"/>
    </xf>
    <xf numFmtId="0" fontId="0" fillId="0" borderId="14" xfId="0" applyBorder="1" applyAlignment="1">
      <alignment horizontal="center" vertical="center"/>
    </xf>
    <xf numFmtId="167" fontId="13" fillId="0" borderId="19" xfId="0" applyNumberFormat="1" applyFont="1" applyBorder="1" applyAlignment="1">
      <alignment vertical="center"/>
    </xf>
    <xf numFmtId="0" fontId="0" fillId="2" borderId="19" xfId="0" applyFill="1" applyBorder="1" applyAlignment="1">
      <alignment horizontal="center" vertical="center" wrapText="1"/>
    </xf>
    <xf numFmtId="0" fontId="0" fillId="0" borderId="19" xfId="0" applyBorder="1" applyAlignment="1">
      <alignment horizontal="center" vertical="center"/>
    </xf>
    <xf numFmtId="0" fontId="5" fillId="0" borderId="6" xfId="0" applyFont="1" applyBorder="1" applyAlignment="1">
      <alignment horizontal="center" vertical="center" wrapText="1"/>
    </xf>
    <xf numFmtId="0" fontId="5" fillId="0" borderId="5" xfId="0" applyFont="1" applyBorder="1" applyAlignment="1">
      <alignment horizontal="center" vertical="center"/>
    </xf>
    <xf numFmtId="0" fontId="5" fillId="0" borderId="5" xfId="0" applyFont="1" applyBorder="1" applyAlignment="1">
      <alignment horizontal="center" vertical="center" wrapText="1"/>
    </xf>
    <xf numFmtId="0" fontId="5" fillId="0" borderId="39" xfId="0" applyFont="1" applyBorder="1" applyAlignment="1">
      <alignment vertical="center"/>
    </xf>
    <xf numFmtId="0" fontId="15" fillId="0" borderId="40" xfId="0" applyFont="1" applyBorder="1" applyAlignment="1">
      <alignment vertical="center"/>
    </xf>
    <xf numFmtId="0" fontId="5" fillId="0" borderId="41" xfId="0" applyFont="1" applyBorder="1" applyAlignment="1">
      <alignment vertical="center"/>
    </xf>
    <xf numFmtId="3" fontId="15" fillId="0" borderId="40" xfId="0" applyNumberFormat="1" applyFont="1" applyBorder="1" applyAlignment="1">
      <alignment vertical="center"/>
    </xf>
    <xf numFmtId="4" fontId="15" fillId="0" borderId="40" xfId="0" applyNumberFormat="1" applyFont="1" applyBorder="1" applyAlignment="1">
      <alignment vertical="center"/>
    </xf>
    <xf numFmtId="0" fontId="0" fillId="7" borderId="3" xfId="0" applyFill="1" applyBorder="1" applyAlignment="1">
      <alignment vertical="center"/>
    </xf>
    <xf numFmtId="0" fontId="5" fillId="0" borderId="1" xfId="0" applyFont="1" applyBorder="1" applyAlignment="1">
      <alignment horizontal="center" vertical="center"/>
    </xf>
    <xf numFmtId="0" fontId="30" fillId="2" borderId="1" xfId="0" applyFont="1" applyFill="1" applyBorder="1" applyAlignment="1">
      <alignment horizontal="center" vertical="center" wrapText="1"/>
    </xf>
    <xf numFmtId="3" fontId="29" fillId="0" borderId="1" xfId="0" applyNumberFormat="1" applyFont="1" applyBorder="1" applyAlignment="1">
      <alignment vertical="center" wrapText="1"/>
    </xf>
    <xf numFmtId="0" fontId="26" fillId="8" borderId="32" xfId="0" applyFont="1" applyFill="1" applyBorder="1" applyAlignment="1">
      <alignment horizontal="center" vertical="center" wrapText="1"/>
    </xf>
    <xf numFmtId="0" fontId="26" fillId="8" borderId="30" xfId="0" applyFont="1" applyFill="1" applyBorder="1" applyAlignment="1">
      <alignment vertical="center" wrapText="1"/>
    </xf>
    <xf numFmtId="3" fontId="26" fillId="2" borderId="29" xfId="0" applyNumberFormat="1" applyFont="1" applyFill="1" applyBorder="1" applyAlignment="1">
      <alignment vertical="center" wrapText="1"/>
    </xf>
    <xf numFmtId="3" fontId="26" fillId="2" borderId="28" xfId="0" applyNumberFormat="1" applyFont="1" applyFill="1" applyBorder="1" applyAlignment="1">
      <alignment vertical="center" wrapText="1"/>
    </xf>
    <xf numFmtId="0" fontId="26" fillId="8" borderId="43" xfId="0" applyFont="1" applyFill="1" applyBorder="1" applyAlignment="1">
      <alignment horizontal="center" vertical="center" wrapText="1"/>
    </xf>
    <xf numFmtId="0" fontId="27" fillId="8" borderId="6" xfId="0" applyFont="1" applyFill="1" applyBorder="1" applyAlignment="1">
      <alignment horizontal="center" vertical="center" wrapText="1"/>
    </xf>
    <xf numFmtId="0" fontId="26" fillId="8" borderId="42" xfId="0" applyFont="1" applyFill="1" applyBorder="1" applyAlignment="1">
      <alignment horizontal="center" vertical="center" wrapText="1"/>
    </xf>
    <xf numFmtId="0" fontId="26" fillId="8" borderId="1" xfId="0" applyFont="1" applyFill="1" applyBorder="1" applyAlignment="1">
      <alignment horizontal="right" vertical="center" wrapText="1"/>
    </xf>
    <xf numFmtId="0" fontId="25" fillId="0" borderId="1" xfId="0" applyFont="1" applyBorder="1" applyAlignment="1">
      <alignment horizontal="right" vertical="center" wrapText="1"/>
    </xf>
    <xf numFmtId="3" fontId="26" fillId="2" borderId="1" xfId="0" applyNumberFormat="1" applyFont="1" applyFill="1" applyBorder="1" applyAlignment="1">
      <alignment horizontal="right" vertical="center" wrapText="1"/>
    </xf>
    <xf numFmtId="3" fontId="25" fillId="0" borderId="1" xfId="0" applyNumberFormat="1" applyFont="1" applyBorder="1" applyAlignment="1">
      <alignment horizontal="right" vertical="center" wrapText="1"/>
    </xf>
    <xf numFmtId="4" fontId="25" fillId="0" borderId="1" xfId="0" applyNumberFormat="1" applyFont="1" applyBorder="1" applyAlignment="1">
      <alignment horizontal="right" vertical="center" wrapText="1"/>
    </xf>
    <xf numFmtId="1" fontId="2" fillId="0" borderId="0" xfId="0" applyNumberFormat="1" applyFont="1" applyAlignment="1">
      <alignment vertical="center"/>
    </xf>
    <xf numFmtId="0" fontId="18" fillId="0" borderId="0" xfId="0" applyFont="1" applyAlignment="1">
      <alignment horizontal="left" vertical="center"/>
    </xf>
    <xf numFmtId="0" fontId="17" fillId="0" borderId="0" xfId="0" applyFont="1" applyAlignment="1">
      <alignment horizontal="center" vertical="center"/>
    </xf>
    <xf numFmtId="0" fontId="17" fillId="0" borderId="0" xfId="0" applyFont="1" applyAlignment="1">
      <alignment vertical="center"/>
    </xf>
    <xf numFmtId="0" fontId="17" fillId="0" borderId="0" xfId="0" applyFont="1" applyAlignment="1">
      <alignment horizontal="left" vertical="center"/>
    </xf>
    <xf numFmtId="0" fontId="34" fillId="0" borderId="0" xfId="1" applyFont="1" applyAlignment="1">
      <alignment vertical="center"/>
    </xf>
    <xf numFmtId="0" fontId="18" fillId="0" borderId="0" xfId="0" applyFont="1" applyAlignment="1">
      <alignment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1" fontId="17" fillId="0" borderId="1" xfId="0" applyNumberFormat="1" applyFont="1" applyBorder="1" applyAlignment="1">
      <alignment horizontal="center" vertical="center"/>
    </xf>
    <xf numFmtId="3" fontId="17" fillId="0" borderId="1" xfId="0" applyNumberFormat="1" applyFont="1" applyBorder="1" applyAlignment="1">
      <alignment horizontal="center" vertical="center"/>
    </xf>
    <xf numFmtId="3" fontId="17" fillId="0" borderId="2" xfId="0" applyNumberFormat="1" applyFont="1" applyBorder="1" applyAlignment="1">
      <alignment horizontal="center" vertical="center"/>
    </xf>
    <xf numFmtId="2"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3" fontId="17" fillId="0" borderId="4" xfId="0" applyNumberFormat="1" applyFont="1" applyBorder="1" applyAlignment="1">
      <alignment horizontal="center" vertical="center"/>
    </xf>
    <xf numFmtId="166" fontId="17" fillId="0" borderId="1" xfId="0" applyNumberFormat="1" applyFont="1" applyBorder="1" applyAlignment="1">
      <alignment horizontal="center" vertical="center"/>
    </xf>
    <xf numFmtId="164" fontId="17" fillId="0" borderId="1" xfId="0" applyNumberFormat="1" applyFont="1" applyBorder="1" applyAlignment="1">
      <alignment horizontal="center" vertical="center"/>
    </xf>
    <xf numFmtId="3" fontId="17" fillId="3" borderId="1" xfId="0" applyNumberFormat="1" applyFont="1" applyFill="1" applyBorder="1" applyAlignment="1">
      <alignment horizontal="center" vertical="center"/>
    </xf>
    <xf numFmtId="3" fontId="17" fillId="0" borderId="0" xfId="0" applyNumberFormat="1" applyFont="1" applyAlignment="1">
      <alignment vertical="center"/>
    </xf>
    <xf numFmtId="4" fontId="17" fillId="0" borderId="1" xfId="0" applyNumberFormat="1" applyFont="1" applyBorder="1" applyAlignment="1">
      <alignment horizontal="center" vertical="center"/>
    </xf>
    <xf numFmtId="167" fontId="17" fillId="0" borderId="1" xfId="0" applyNumberFormat="1" applyFont="1" applyBorder="1" applyAlignment="1">
      <alignment horizontal="center" vertical="center"/>
    </xf>
    <xf numFmtId="1" fontId="17" fillId="4" borderId="1" xfId="0" applyNumberFormat="1" applyFont="1" applyFill="1" applyBorder="1" applyAlignment="1">
      <alignment vertical="center"/>
    </xf>
    <xf numFmtId="166" fontId="17" fillId="4" borderId="1" xfId="0" applyNumberFormat="1" applyFont="1" applyFill="1" applyBorder="1" applyAlignment="1">
      <alignment horizontal="center" vertical="center"/>
    </xf>
    <xf numFmtId="0" fontId="17" fillId="4" borderId="0" xfId="0" applyFont="1" applyFill="1" applyAlignment="1">
      <alignment horizontal="center" vertical="center"/>
    </xf>
    <xf numFmtId="0" fontId="17" fillId="4" borderId="0" xfId="0" applyFont="1" applyFill="1" applyAlignment="1">
      <alignment vertical="center"/>
    </xf>
    <xf numFmtId="0" fontId="18" fillId="2" borderId="1"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31" xfId="0" applyFont="1" applyFill="1" applyBorder="1" applyAlignment="1">
      <alignment horizontal="center" vertical="center" wrapText="1"/>
    </xf>
    <xf numFmtId="0" fontId="36" fillId="2" borderId="31" xfId="0" applyFont="1" applyFill="1" applyBorder="1" applyAlignment="1">
      <alignment horizontal="center" vertical="center" wrapText="1"/>
    </xf>
    <xf numFmtId="0" fontId="18" fillId="2" borderId="4" xfId="0" applyFont="1" applyFill="1" applyBorder="1" applyAlignment="1">
      <alignment horizontal="center" vertical="center"/>
    </xf>
    <xf numFmtId="0" fontId="18" fillId="2" borderId="45" xfId="0" applyFont="1" applyFill="1" applyBorder="1" applyAlignment="1">
      <alignment horizontal="center" vertical="center"/>
    </xf>
    <xf numFmtId="4" fontId="17" fillId="0" borderId="4" xfId="0" applyNumberFormat="1" applyFont="1" applyBorder="1" applyAlignment="1">
      <alignment horizontal="center" vertical="center"/>
    </xf>
    <xf numFmtId="167" fontId="17" fillId="0" borderId="4" xfId="0" applyNumberFormat="1" applyFont="1" applyBorder="1" applyAlignment="1">
      <alignment horizontal="center" vertical="center"/>
    </xf>
    <xf numFmtId="0" fontId="18" fillId="2" borderId="1" xfId="0" applyFont="1" applyFill="1" applyBorder="1" applyAlignment="1">
      <alignment horizontal="center" vertical="center"/>
    </xf>
    <xf numFmtId="0" fontId="18" fillId="2" borderId="28" xfId="0" applyFont="1" applyFill="1" applyBorder="1" applyAlignment="1">
      <alignment horizontal="center" vertical="center"/>
    </xf>
    <xf numFmtId="0" fontId="17" fillId="0" borderId="3" xfId="0" applyFont="1" applyBorder="1" applyAlignment="1">
      <alignment horizontal="center" vertical="center"/>
    </xf>
    <xf numFmtId="173" fontId="17" fillId="0" borderId="0" xfId="0" applyNumberFormat="1" applyFont="1" applyAlignment="1">
      <alignment vertical="center"/>
    </xf>
    <xf numFmtId="3" fontId="17" fillId="2" borderId="1" xfId="0" applyNumberFormat="1" applyFont="1" applyFill="1" applyBorder="1" applyAlignment="1">
      <alignment horizontal="center" vertical="center"/>
    </xf>
    <xf numFmtId="167" fontId="17" fillId="2" borderId="1" xfId="0" applyNumberFormat="1" applyFont="1" applyFill="1" applyBorder="1" applyAlignment="1">
      <alignment horizontal="center" vertical="center"/>
    </xf>
    <xf numFmtId="3" fontId="17" fillId="2" borderId="4" xfId="0" applyNumberFormat="1" applyFont="1" applyFill="1" applyBorder="1" applyAlignment="1">
      <alignment horizontal="center" vertical="center"/>
    </xf>
    <xf numFmtId="4" fontId="17" fillId="2" borderId="1" xfId="0" applyNumberFormat="1" applyFont="1" applyFill="1" applyBorder="1" applyAlignment="1">
      <alignment horizontal="center" vertical="center"/>
    </xf>
    <xf numFmtId="0" fontId="18" fillId="0" borderId="0" xfId="0" applyFont="1" applyAlignment="1">
      <alignment horizontal="center" vertical="center"/>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164" fontId="17" fillId="0" borderId="4" xfId="0" applyNumberFormat="1" applyFont="1" applyBorder="1" applyAlignment="1">
      <alignment horizontal="center" vertical="center"/>
    </xf>
    <xf numFmtId="10" fontId="17" fillId="0" borderId="1" xfId="2" applyNumberFormat="1" applyFont="1" applyBorder="1" applyAlignment="1">
      <alignment horizontal="center" vertical="center"/>
    </xf>
    <xf numFmtId="172" fontId="17" fillId="0" borderId="1" xfId="2" applyNumberFormat="1" applyFont="1" applyBorder="1" applyAlignment="1">
      <alignment horizontal="center" vertical="center"/>
    </xf>
    <xf numFmtId="164" fontId="17" fillId="2" borderId="4" xfId="0" applyNumberFormat="1" applyFont="1" applyFill="1" applyBorder="1" applyAlignment="1">
      <alignment horizontal="center" vertical="center"/>
    </xf>
    <xf numFmtId="3" fontId="17" fillId="3" borderId="4" xfId="0" applyNumberFormat="1" applyFont="1" applyFill="1" applyBorder="1" applyAlignment="1">
      <alignment horizontal="center" vertical="center"/>
    </xf>
    <xf numFmtId="4" fontId="17" fillId="3" borderId="1" xfId="0" applyNumberFormat="1" applyFont="1" applyFill="1" applyBorder="1" applyAlignment="1">
      <alignment horizontal="center" vertical="center"/>
    </xf>
    <xf numFmtId="0" fontId="17" fillId="0" borderId="0" xfId="0" applyFont="1" applyAlignment="1">
      <alignment horizontal="justify" vertical="center" wrapText="1"/>
    </xf>
    <xf numFmtId="0" fontId="18" fillId="0" borderId="1" xfId="0" applyFont="1" applyBorder="1" applyAlignment="1">
      <alignment vertical="center"/>
    </xf>
    <xf numFmtId="0" fontId="17" fillId="0" borderId="1" xfId="0" applyFont="1" applyBorder="1" applyAlignment="1">
      <alignment vertical="center"/>
    </xf>
    <xf numFmtId="11" fontId="17" fillId="0" borderId="1" xfId="0" applyNumberFormat="1" applyFont="1" applyBorder="1" applyAlignment="1">
      <alignment horizontal="center" vertical="center"/>
    </xf>
    <xf numFmtId="0" fontId="17" fillId="0" borderId="0" xfId="0" applyFont="1"/>
    <xf numFmtId="167" fontId="18" fillId="0" borderId="1" xfId="0" applyNumberFormat="1" applyFont="1" applyBorder="1" applyAlignment="1">
      <alignment horizontal="center" vertical="center"/>
    </xf>
    <xf numFmtId="0" fontId="21" fillId="0" borderId="0" xfId="0" applyFont="1" applyAlignment="1">
      <alignment horizontal="center" vertical="center" wrapText="1"/>
    </xf>
    <xf numFmtId="0" fontId="1" fillId="0" borderId="0" xfId="0" applyFont="1" applyAlignment="1">
      <alignment vertical="center"/>
    </xf>
    <xf numFmtId="0" fontId="1" fillId="0" borderId="0" xfId="0" applyFont="1" applyAlignment="1">
      <alignment vertical="center" wrapText="1"/>
    </xf>
    <xf numFmtId="11" fontId="2" fillId="0" borderId="1" xfId="0" applyNumberFormat="1" applyFont="1" applyBorder="1" applyAlignment="1">
      <alignment vertical="center"/>
    </xf>
    <xf numFmtId="11" fontId="2" fillId="0" borderId="3" xfId="0" applyNumberFormat="1" applyFont="1" applyBorder="1" applyAlignment="1">
      <alignment vertical="center"/>
    </xf>
    <xf numFmtId="0" fontId="1" fillId="2" borderId="28" xfId="0" applyFont="1" applyFill="1" applyBorder="1" applyAlignment="1">
      <alignment vertical="center" wrapText="1"/>
    </xf>
    <xf numFmtId="11" fontId="2" fillId="0" borderId="0" xfId="0" applyNumberFormat="1" applyFont="1" applyAlignment="1">
      <alignment vertical="center"/>
    </xf>
    <xf numFmtId="0" fontId="1" fillId="2" borderId="45" xfId="0" applyFont="1" applyFill="1" applyBorder="1" applyAlignment="1">
      <alignment vertical="center" wrapText="1"/>
    </xf>
    <xf numFmtId="11" fontId="2" fillId="0" borderId="12" xfId="0" applyNumberFormat="1" applyFont="1" applyBorder="1" applyAlignment="1">
      <alignment vertical="center"/>
    </xf>
    <xf numFmtId="3" fontId="2" fillId="0" borderId="4" xfId="0" applyNumberFormat="1" applyFont="1" applyBorder="1" applyAlignment="1">
      <alignment vertical="center"/>
    </xf>
    <xf numFmtId="174" fontId="2" fillId="0" borderId="3" xfId="0" applyNumberFormat="1" applyFont="1" applyBorder="1" applyAlignment="1">
      <alignment horizontal="right" vertical="center"/>
    </xf>
    <xf numFmtId="3" fontId="2" fillId="0" borderId="1" xfId="0" applyNumberFormat="1" applyFont="1" applyBorder="1" applyAlignment="1">
      <alignment vertical="center"/>
    </xf>
    <xf numFmtId="0" fontId="1" fillId="0" borderId="49" xfId="0" applyFont="1" applyBorder="1" applyAlignment="1">
      <alignment vertical="center" wrapText="1"/>
    </xf>
    <xf numFmtId="0" fontId="1" fillId="2" borderId="2" xfId="0" applyFont="1" applyFill="1" applyBorder="1" applyAlignment="1">
      <alignment vertical="center" wrapText="1"/>
    </xf>
    <xf numFmtId="3" fontId="2" fillId="0" borderId="6" xfId="0" applyNumberFormat="1" applyFont="1" applyBorder="1" applyAlignment="1">
      <alignment vertical="center"/>
    </xf>
    <xf numFmtId="3" fontId="2" fillId="0" borderId="50" xfId="0" applyNumberFormat="1" applyFont="1" applyBorder="1" applyAlignment="1">
      <alignment vertical="center"/>
    </xf>
    <xf numFmtId="0" fontId="40" fillId="2" borderId="48" xfId="0" applyFont="1" applyFill="1" applyBorder="1" applyAlignment="1">
      <alignment horizontal="center" vertical="center"/>
    </xf>
    <xf numFmtId="0" fontId="40" fillId="2" borderId="31" xfId="0" applyFont="1" applyFill="1" applyBorder="1" applyAlignment="1">
      <alignment horizontal="center" vertical="center"/>
    </xf>
    <xf numFmtId="0" fontId="8" fillId="0" borderId="1" xfId="0" applyFont="1" applyBorder="1" applyAlignment="1">
      <alignment horizontal="center" vertical="center"/>
    </xf>
    <xf numFmtId="3" fontId="8" fillId="0" borderId="1" xfId="0" applyNumberFormat="1" applyFont="1" applyBorder="1" applyAlignment="1">
      <alignment horizontal="center"/>
    </xf>
    <xf numFmtId="164" fontId="0" fillId="0" borderId="1" xfId="0" applyNumberFormat="1" applyBorder="1" applyAlignment="1">
      <alignment horizontal="center"/>
    </xf>
    <xf numFmtId="0" fontId="21" fillId="8" borderId="51" xfId="0" applyFont="1" applyFill="1" applyBorder="1" applyAlignment="1">
      <alignment horizontal="center" vertical="center" wrapText="1"/>
    </xf>
    <xf numFmtId="0" fontId="17" fillId="0" borderId="52" xfId="0" applyFont="1" applyBorder="1" applyAlignment="1">
      <alignment horizontal="center" vertical="center" wrapText="1"/>
    </xf>
    <xf numFmtId="0" fontId="23" fillId="8" borderId="53" xfId="0" applyFont="1" applyFill="1" applyBorder="1" applyAlignment="1">
      <alignment horizontal="center" vertical="center" wrapText="1"/>
    </xf>
    <xf numFmtId="0" fontId="21" fillId="8" borderId="54" xfId="0" applyFont="1" applyFill="1" applyBorder="1" applyAlignment="1">
      <alignment horizontal="center" vertical="center" wrapText="1"/>
    </xf>
    <xf numFmtId="0" fontId="23" fillId="8" borderId="54" xfId="0" applyFont="1" applyFill="1" applyBorder="1" applyAlignment="1">
      <alignment horizontal="center" vertical="center" wrapText="1"/>
    </xf>
    <xf numFmtId="3" fontId="21" fillId="8" borderId="51" xfId="0" applyNumberFormat="1" applyFont="1" applyFill="1" applyBorder="1" applyAlignment="1">
      <alignment horizontal="center" vertical="center" wrapText="1"/>
    </xf>
    <xf numFmtId="0" fontId="18" fillId="0" borderId="0" xfId="0" applyFont="1"/>
    <xf numFmtId="164" fontId="17" fillId="0" borderId="1" xfId="0" applyNumberFormat="1" applyFont="1" applyBorder="1" applyAlignment="1">
      <alignment horizontal="center"/>
    </xf>
    <xf numFmtId="2" fontId="17" fillId="0" borderId="1" xfId="0" applyNumberFormat="1" applyFont="1" applyBorder="1" applyAlignment="1">
      <alignment horizontal="center"/>
    </xf>
    <xf numFmtId="1" fontId="17" fillId="0" borderId="1" xfId="0" applyNumberFormat="1" applyFont="1" applyBorder="1" applyAlignment="1">
      <alignment horizontal="center"/>
    </xf>
    <xf numFmtId="164" fontId="17" fillId="5" borderId="1" xfId="0" applyNumberFormat="1" applyFont="1" applyFill="1" applyBorder="1" applyAlignment="1">
      <alignment horizontal="center"/>
    </xf>
    <xf numFmtId="2" fontId="17" fillId="5" borderId="1" xfId="0" applyNumberFormat="1" applyFont="1" applyFill="1" applyBorder="1" applyAlignment="1">
      <alignment horizontal="center"/>
    </xf>
    <xf numFmtId="1" fontId="17" fillId="5" borderId="1" xfId="0" applyNumberFormat="1" applyFont="1" applyFill="1" applyBorder="1" applyAlignment="1">
      <alignment horizontal="center"/>
    </xf>
    <xf numFmtId="1" fontId="17" fillId="4" borderId="1" xfId="0" applyNumberFormat="1" applyFont="1" applyFill="1" applyBorder="1" applyAlignment="1">
      <alignment horizontal="center"/>
    </xf>
    <xf numFmtId="175" fontId="17" fillId="0" borderId="0" xfId="0" applyNumberFormat="1" applyFont="1"/>
    <xf numFmtId="0" fontId="26" fillId="8" borderId="1"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top"/>
    </xf>
    <xf numFmtId="0" fontId="2" fillId="0" borderId="1" xfId="0"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1" fillId="2" borderId="31"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3" xfId="0" applyFont="1" applyBorder="1" applyAlignment="1">
      <alignment horizontal="center" vertical="center" wrapText="1"/>
    </xf>
    <xf numFmtId="0" fontId="1" fillId="2" borderId="45"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2" fillId="0" borderId="30" xfId="0" applyFont="1" applyBorder="1" applyAlignment="1">
      <alignment horizontal="center" vertical="center" wrapText="1"/>
    </xf>
    <xf numFmtId="0" fontId="1" fillId="2" borderId="32" xfId="0" applyFont="1" applyFill="1" applyBorder="1" applyAlignment="1">
      <alignment horizontal="center" vertical="center" wrapText="1"/>
    </xf>
    <xf numFmtId="0" fontId="18" fillId="0" borderId="1" xfId="0" applyFont="1" applyBorder="1" applyAlignment="1">
      <alignment vertical="center" wrapText="1"/>
    </xf>
    <xf numFmtId="2" fontId="18" fillId="0" borderId="1" xfId="0" applyNumberFormat="1" applyFont="1" applyBorder="1" applyAlignment="1">
      <alignment vertical="center"/>
    </xf>
    <xf numFmtId="0" fontId="1" fillId="2" borderId="1" xfId="0" applyFont="1" applyFill="1" applyBorder="1" applyAlignment="1">
      <alignment horizontal="center" vertical="center"/>
    </xf>
    <xf numFmtId="0" fontId="26" fillId="8" borderId="46" xfId="0" applyFont="1" applyFill="1" applyBorder="1" applyAlignment="1">
      <alignment horizontal="center" vertical="center" wrapText="1"/>
    </xf>
    <xf numFmtId="0" fontId="26" fillId="8" borderId="45" xfId="0" applyFont="1" applyFill="1" applyBorder="1" applyAlignment="1">
      <alignment horizontal="center" vertical="center" wrapText="1"/>
    </xf>
    <xf numFmtId="0" fontId="26" fillId="8" borderId="28" xfId="0" applyFont="1" applyFill="1" applyBorder="1" applyAlignment="1">
      <alignment horizontal="center" vertical="center" wrapText="1"/>
    </xf>
    <xf numFmtId="0" fontId="26" fillId="8" borderId="47" xfId="0" applyFont="1" applyFill="1" applyBorder="1" applyAlignment="1">
      <alignment horizontal="center" vertical="center" wrapText="1"/>
    </xf>
    <xf numFmtId="0" fontId="18" fillId="2" borderId="46" xfId="0" applyFont="1" applyFill="1" applyBorder="1" applyAlignment="1">
      <alignment horizontal="center" vertical="center" wrapText="1"/>
    </xf>
    <xf numFmtId="0" fontId="18" fillId="2" borderId="32" xfId="0" applyFont="1" applyFill="1" applyBorder="1" applyAlignment="1">
      <alignment horizontal="center" vertical="center" wrapText="1"/>
    </xf>
    <xf numFmtId="171" fontId="2" fillId="0" borderId="1" xfId="2" applyNumberFormat="1" applyFont="1" applyBorder="1" applyAlignment="1">
      <alignment horizontal="center" vertical="center"/>
    </xf>
    <xf numFmtId="2" fontId="2" fillId="0" borderId="1" xfId="0" applyNumberFormat="1" applyFont="1" applyBorder="1" applyAlignment="1">
      <alignment horizontal="center" vertical="center"/>
    </xf>
    <xf numFmtId="171" fontId="1" fillId="0" borderId="1" xfId="2" applyNumberFormat="1" applyFont="1" applyBorder="1" applyAlignment="1">
      <alignment horizontal="center" vertical="center"/>
    </xf>
    <xf numFmtId="2" fontId="1" fillId="0" borderId="1" xfId="0" applyNumberFormat="1" applyFont="1" applyBorder="1" applyAlignment="1">
      <alignment horizontal="center" vertical="center"/>
    </xf>
    <xf numFmtId="0" fontId="2" fillId="4" borderId="1" xfId="0" applyFont="1" applyFill="1" applyBorder="1" applyAlignment="1">
      <alignment horizontal="center" vertical="center"/>
    </xf>
    <xf numFmtId="0" fontId="2" fillId="0" borderId="0" xfId="0" applyFont="1" applyAlignment="1">
      <alignment horizontal="center" vertical="center"/>
    </xf>
    <xf numFmtId="0" fontId="1" fillId="2" borderId="57" xfId="0" applyFont="1" applyFill="1" applyBorder="1" applyAlignment="1">
      <alignment horizontal="center" vertical="center"/>
    </xf>
    <xf numFmtId="0" fontId="1" fillId="2" borderId="28" xfId="0" applyFont="1" applyFill="1" applyBorder="1" applyAlignment="1">
      <alignment horizontal="center" vertical="center"/>
    </xf>
    <xf numFmtId="0" fontId="2" fillId="2" borderId="59"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176" fontId="2" fillId="0" borderId="1" xfId="2" applyNumberFormat="1" applyFont="1" applyBorder="1" applyAlignment="1">
      <alignment horizontal="center" vertical="center"/>
    </xf>
    <xf numFmtId="0" fontId="26" fillId="0" borderId="0" xfId="0" applyFont="1" applyAlignment="1">
      <alignment horizontal="center" vertical="center" wrapText="1"/>
    </xf>
    <xf numFmtId="9" fontId="1" fillId="0" borderId="0" xfId="0" applyNumberFormat="1" applyFont="1" applyAlignment="1">
      <alignment horizontal="center" vertical="center" wrapText="1"/>
    </xf>
    <xf numFmtId="0" fontId="1" fillId="0" borderId="0" xfId="0" applyFont="1" applyAlignment="1">
      <alignment horizontal="center" vertical="center" wrapText="1"/>
    </xf>
    <xf numFmtId="9" fontId="1" fillId="2" borderId="56" xfId="0" applyNumberFormat="1" applyFont="1" applyFill="1" applyBorder="1" applyAlignment="1">
      <alignment horizontal="center" vertical="center" wrapText="1"/>
    </xf>
    <xf numFmtId="0" fontId="1" fillId="2" borderId="45" xfId="0" applyFont="1" applyFill="1" applyBorder="1" applyAlignment="1">
      <alignment horizontal="center" vertical="center"/>
    </xf>
    <xf numFmtId="0" fontId="2" fillId="2" borderId="60" xfId="0" applyFont="1" applyFill="1" applyBorder="1" applyAlignment="1">
      <alignment vertical="center"/>
    </xf>
    <xf numFmtId="0" fontId="1" fillId="2" borderId="12" xfId="0" applyFont="1" applyFill="1" applyBorder="1" applyAlignment="1">
      <alignment vertical="center"/>
    </xf>
    <xf numFmtId="171" fontId="1" fillId="2" borderId="4" xfId="2" applyNumberFormat="1" applyFont="1" applyFill="1" applyBorder="1" applyAlignment="1">
      <alignment horizontal="center" vertical="center"/>
    </xf>
    <xf numFmtId="0" fontId="1" fillId="2" borderId="46" xfId="0" applyFont="1" applyFill="1" applyBorder="1" applyAlignment="1">
      <alignment horizontal="center" vertical="center"/>
    </xf>
    <xf numFmtId="0" fontId="2" fillId="0" borderId="31" xfId="0" applyFont="1" applyBorder="1" applyAlignment="1">
      <alignment horizontal="center" vertical="center"/>
    </xf>
    <xf numFmtId="171" fontId="2" fillId="0" borderId="31" xfId="2" applyNumberFormat="1" applyFont="1" applyBorder="1" applyAlignment="1">
      <alignment horizontal="center" vertical="center"/>
    </xf>
    <xf numFmtId="2" fontId="1" fillId="2" borderId="4" xfId="0" applyNumberFormat="1" applyFont="1" applyFill="1" applyBorder="1" applyAlignment="1">
      <alignment horizontal="center" vertical="center"/>
    </xf>
    <xf numFmtId="2" fontId="2" fillId="0" borderId="31" xfId="0" applyNumberFormat="1" applyFont="1" applyBorder="1" applyAlignment="1">
      <alignment horizontal="center" vertical="center"/>
    </xf>
    <xf numFmtId="0" fontId="2" fillId="0" borderId="56" xfId="0" applyFont="1" applyBorder="1" applyAlignment="1">
      <alignment horizontal="center" vertical="center" wrapText="1"/>
    </xf>
    <xf numFmtId="0" fontId="1" fillId="2" borderId="31" xfId="0" applyFont="1" applyFill="1" applyBorder="1" applyAlignment="1">
      <alignment horizontal="center" vertical="center"/>
    </xf>
    <xf numFmtId="0" fontId="2" fillId="0" borderId="4" xfId="0" applyFont="1" applyBorder="1" applyAlignment="1">
      <alignment horizontal="center" vertical="center"/>
    </xf>
    <xf numFmtId="171" fontId="2" fillId="0" borderId="4" xfId="2" applyNumberFormat="1" applyFont="1" applyBorder="1" applyAlignment="1">
      <alignment horizontal="center" vertical="center"/>
    </xf>
    <xf numFmtId="0" fontId="26" fillId="8" borderId="48" xfId="0" applyFont="1" applyFill="1" applyBorder="1" applyAlignment="1">
      <alignment horizontal="center" vertical="center" wrapText="1"/>
    </xf>
    <xf numFmtId="0" fontId="1" fillId="2" borderId="61" xfId="0" applyFont="1" applyFill="1" applyBorder="1" applyAlignment="1">
      <alignment horizontal="center" vertical="center"/>
    </xf>
    <xf numFmtId="0" fontId="1" fillId="2" borderId="56" xfId="0" applyFont="1" applyFill="1" applyBorder="1" applyAlignment="1">
      <alignment horizontal="center" vertical="center"/>
    </xf>
    <xf numFmtId="165" fontId="1" fillId="2" borderId="29" xfId="0" applyNumberFormat="1" applyFont="1" applyFill="1" applyBorder="1" applyAlignment="1">
      <alignment horizontal="center" vertical="center"/>
    </xf>
    <xf numFmtId="165" fontId="1" fillId="2" borderId="43" xfId="0" applyNumberFormat="1" applyFont="1" applyFill="1" applyBorder="1" applyAlignment="1">
      <alignment horizontal="center" vertical="center"/>
    </xf>
    <xf numFmtId="2" fontId="1" fillId="2" borderId="61" xfId="0" applyNumberFormat="1" applyFont="1" applyFill="1" applyBorder="1" applyAlignment="1">
      <alignment horizontal="center" vertical="center"/>
    </xf>
    <xf numFmtId="2" fontId="1" fillId="2" borderId="29" xfId="0" applyNumberFormat="1" applyFont="1" applyFill="1" applyBorder="1" applyAlignment="1">
      <alignment horizontal="center" vertical="center"/>
    </xf>
    <xf numFmtId="2" fontId="1" fillId="2" borderId="43" xfId="0" applyNumberFormat="1" applyFont="1" applyFill="1" applyBorder="1" applyAlignment="1">
      <alignment horizontal="center" vertical="center"/>
    </xf>
    <xf numFmtId="0" fontId="1" fillId="2" borderId="30"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62" xfId="0" applyFont="1" applyFill="1" applyBorder="1" applyAlignment="1">
      <alignment horizontal="center" vertical="center"/>
    </xf>
    <xf numFmtId="9" fontId="2" fillId="0" borderId="1" xfId="2" applyFont="1" applyBorder="1" applyAlignment="1">
      <alignment horizontal="center" vertical="center"/>
    </xf>
    <xf numFmtId="9" fontId="2" fillId="0" borderId="31" xfId="2" applyFont="1" applyBorder="1" applyAlignment="1">
      <alignment horizontal="center" vertical="center"/>
    </xf>
    <xf numFmtId="0" fontId="21" fillId="8" borderId="57" xfId="0" applyFont="1" applyFill="1" applyBorder="1" applyAlignment="1">
      <alignment horizontal="center" vertical="center" wrapText="1"/>
    </xf>
    <xf numFmtId="0" fontId="21" fillId="8" borderId="55" xfId="0" applyFont="1" applyFill="1" applyBorder="1" applyAlignment="1">
      <alignment horizontal="center" vertical="center" wrapText="1"/>
    </xf>
    <xf numFmtId="0" fontId="21" fillId="8" borderId="56" xfId="0" applyFont="1" applyFill="1" applyBorder="1" applyAlignment="1">
      <alignment horizontal="center" vertical="center" wrapText="1"/>
    </xf>
    <xf numFmtId="0" fontId="23" fillId="8" borderId="2" xfId="0" applyFont="1" applyFill="1" applyBorder="1" applyAlignment="1">
      <alignment horizontal="center" vertical="center" wrapText="1"/>
    </xf>
    <xf numFmtId="3" fontId="17" fillId="0" borderId="50" xfId="0" applyNumberFormat="1" applyFont="1" applyBorder="1" applyAlignment="1">
      <alignment horizontal="center" vertical="center" wrapText="1"/>
    </xf>
    <xf numFmtId="3" fontId="17" fillId="0" borderId="1" xfId="0" applyNumberFormat="1" applyFont="1" applyBorder="1" applyAlignment="1">
      <alignment horizontal="center" vertical="center" wrapText="1"/>
    </xf>
    <xf numFmtId="3" fontId="17" fillId="0" borderId="10" xfId="0" applyNumberFormat="1" applyFont="1" applyBorder="1" applyAlignment="1">
      <alignment horizontal="center" vertical="center"/>
    </xf>
    <xf numFmtId="0" fontId="18" fillId="2" borderId="63" xfId="0" applyFont="1" applyFill="1" applyBorder="1" applyAlignment="1">
      <alignment horizontal="center" vertical="center" wrapText="1"/>
    </xf>
    <xf numFmtId="165" fontId="17" fillId="0" borderId="12" xfId="0" applyNumberFormat="1" applyFont="1" applyBorder="1" applyAlignment="1">
      <alignment horizontal="center" vertical="center"/>
    </xf>
    <xf numFmtId="2" fontId="17" fillId="0" borderId="3" xfId="0" applyNumberFormat="1" applyFont="1" applyBorder="1" applyAlignment="1">
      <alignment horizontal="center" vertical="center"/>
    </xf>
    <xf numFmtId="0" fontId="18" fillId="0" borderId="45" xfId="0" applyFont="1" applyBorder="1" applyAlignment="1">
      <alignment horizontal="center" vertical="center"/>
    </xf>
    <xf numFmtId="0" fontId="18" fillId="0" borderId="28" xfId="0" applyFont="1" applyBorder="1" applyAlignment="1">
      <alignment horizontal="center" vertical="center"/>
    </xf>
    <xf numFmtId="0" fontId="18" fillId="0" borderId="36" xfId="0" applyFont="1" applyBorder="1" applyAlignment="1">
      <alignment vertical="center"/>
    </xf>
    <xf numFmtId="1" fontId="17" fillId="0" borderId="12" xfId="0" applyNumberFormat="1" applyFont="1" applyBorder="1" applyAlignment="1">
      <alignment horizontal="center" vertical="center"/>
    </xf>
    <xf numFmtId="1" fontId="17" fillId="0" borderId="3" xfId="0" applyNumberFormat="1" applyFont="1" applyBorder="1" applyAlignment="1">
      <alignment horizontal="center" vertical="center"/>
    </xf>
    <xf numFmtId="2" fontId="17" fillId="0" borderId="4" xfId="0" applyNumberFormat="1" applyFont="1" applyBorder="1" applyAlignment="1">
      <alignment horizontal="center" vertical="center"/>
    </xf>
    <xf numFmtId="3" fontId="17" fillId="0" borderId="12" xfId="0" applyNumberFormat="1" applyFont="1" applyBorder="1" applyAlignment="1">
      <alignment horizontal="center" vertical="center"/>
    </xf>
    <xf numFmtId="3" fontId="17" fillId="0" borderId="3" xfId="0" applyNumberFormat="1" applyFont="1" applyBorder="1" applyAlignment="1">
      <alignment horizontal="center" vertical="center"/>
    </xf>
    <xf numFmtId="3" fontId="17" fillId="2" borderId="3" xfId="0" applyNumberFormat="1" applyFont="1" applyFill="1" applyBorder="1" applyAlignment="1">
      <alignment horizontal="center" vertical="center"/>
    </xf>
    <xf numFmtId="3" fontId="17" fillId="2" borderId="12" xfId="0" applyNumberFormat="1" applyFont="1" applyFill="1" applyBorder="1" applyAlignment="1">
      <alignment horizontal="center" vertical="center"/>
    </xf>
    <xf numFmtId="3" fontId="17" fillId="3" borderId="12" xfId="0" applyNumberFormat="1" applyFont="1" applyFill="1" applyBorder="1" applyAlignment="1">
      <alignment horizontal="center" vertical="center"/>
    </xf>
    <xf numFmtId="0" fontId="21" fillId="8" borderId="3" xfId="0" applyFont="1" applyFill="1" applyBorder="1" applyAlignment="1">
      <alignment horizontal="center" vertical="center" wrapText="1"/>
    </xf>
    <xf numFmtId="0" fontId="17" fillId="0" borderId="3" xfId="0" applyFont="1" applyBorder="1" applyAlignment="1">
      <alignment horizontal="center" vertical="center" wrapText="1"/>
    </xf>
    <xf numFmtId="0" fontId="21" fillId="8" borderId="28" xfId="0" applyFont="1" applyFill="1" applyBorder="1" applyAlignment="1">
      <alignment horizontal="center" vertical="center" wrapText="1"/>
    </xf>
    <xf numFmtId="0" fontId="5" fillId="0" borderId="1" xfId="0" applyFont="1" applyBorder="1" applyAlignment="1">
      <alignment vertical="center" wrapText="1"/>
    </xf>
    <xf numFmtId="0" fontId="5" fillId="9" borderId="1" xfId="0" applyFont="1" applyFill="1" applyBorder="1" applyAlignment="1">
      <alignment vertical="center" wrapText="1"/>
    </xf>
    <xf numFmtId="0" fontId="5" fillId="0" borderId="6" xfId="0" applyFont="1" applyBorder="1" applyAlignment="1">
      <alignment horizontal="left" vertical="center" wrapText="1"/>
    </xf>
    <xf numFmtId="0" fontId="5" fillId="10" borderId="1" xfId="0" applyFont="1" applyFill="1" applyBorder="1" applyAlignment="1">
      <alignment horizontal="center" vertical="center" wrapText="1"/>
    </xf>
    <xf numFmtId="0" fontId="0" fillId="2" borderId="1" xfId="0" applyFill="1" applyBorder="1" applyAlignment="1">
      <alignment vertical="center"/>
    </xf>
    <xf numFmtId="0" fontId="5" fillId="4" borderId="1" xfId="0" applyFont="1" applyFill="1" applyBorder="1" applyAlignment="1">
      <alignment horizontal="center" vertical="center" wrapText="1"/>
    </xf>
    <xf numFmtId="0" fontId="0" fillId="4" borderId="1" xfId="0" applyFill="1" applyBorder="1" applyAlignment="1">
      <alignment vertical="center"/>
    </xf>
    <xf numFmtId="0" fontId="5" fillId="4" borderId="1" xfId="0" applyFont="1" applyFill="1" applyBorder="1" applyAlignment="1">
      <alignment horizontal="left" vertical="center" wrapText="1"/>
    </xf>
    <xf numFmtId="0" fontId="0" fillId="0" borderId="1" xfId="0" applyBorder="1" applyAlignment="1">
      <alignment vertical="center" wrapText="1"/>
    </xf>
    <xf numFmtId="0" fontId="21" fillId="8" borderId="9" xfId="0" applyFont="1" applyFill="1" applyBorder="1" applyAlignment="1">
      <alignment horizontal="center" vertical="center" wrapText="1"/>
    </xf>
    <xf numFmtId="0" fontId="0" fillId="0" borderId="4" xfId="0" applyBorder="1" applyAlignment="1">
      <alignment vertical="center"/>
    </xf>
    <xf numFmtId="0" fontId="0" fillId="0" borderId="4" xfId="0" applyBorder="1" applyAlignment="1">
      <alignment horizontal="center" vertical="center"/>
    </xf>
    <xf numFmtId="0" fontId="0" fillId="0" borderId="3" xfId="0" applyBorder="1" applyAlignment="1">
      <alignment vertical="center"/>
    </xf>
    <xf numFmtId="0" fontId="0" fillId="0" borderId="67" xfId="0" applyBorder="1" applyAlignment="1">
      <alignment horizontal="center" vertical="center"/>
    </xf>
    <xf numFmtId="0" fontId="0" fillId="0" borderId="18" xfId="0" applyBorder="1" applyAlignment="1">
      <alignment vertical="center"/>
    </xf>
    <xf numFmtId="0" fontId="0" fillId="0" borderId="70" xfId="0" applyBorder="1" applyAlignment="1">
      <alignment horizontal="center" vertical="center"/>
    </xf>
    <xf numFmtId="0" fontId="0" fillId="0" borderId="13" xfId="0" applyBorder="1" applyAlignment="1">
      <alignment vertical="center"/>
    </xf>
    <xf numFmtId="13" fontId="1" fillId="0" borderId="65" xfId="0" applyNumberFormat="1" applyFont="1" applyBorder="1" applyAlignment="1">
      <alignment horizontal="center" vertical="center" wrapText="1"/>
    </xf>
    <xf numFmtId="13" fontId="1" fillId="0" borderId="71" xfId="0" applyNumberFormat="1" applyFont="1" applyBorder="1" applyAlignment="1">
      <alignment horizontal="center" vertical="center" wrapText="1"/>
    </xf>
    <xf numFmtId="13" fontId="1" fillId="0" borderId="18" xfId="0" applyNumberFormat="1" applyFont="1" applyBorder="1" applyAlignment="1">
      <alignment horizontal="center" vertical="center" wrapText="1"/>
    </xf>
    <xf numFmtId="0" fontId="5" fillId="0" borderId="20" xfId="0" applyFont="1" applyBorder="1" applyAlignment="1">
      <alignment horizontal="center" vertical="center"/>
    </xf>
    <xf numFmtId="0" fontId="5" fillId="0" borderId="19" xfId="0" applyFont="1" applyBorder="1" applyAlignment="1">
      <alignment horizontal="center" vertical="center"/>
    </xf>
    <xf numFmtId="0" fontId="5" fillId="0" borderId="18" xfId="0" applyFont="1" applyBorder="1" applyAlignment="1">
      <alignment horizontal="center" vertical="center"/>
    </xf>
    <xf numFmtId="0" fontId="0" fillId="0" borderId="20" xfId="0" applyBorder="1" applyAlignment="1">
      <alignment horizontal="center" vertical="center"/>
    </xf>
    <xf numFmtId="0" fontId="0" fillId="0" borderId="18" xfId="0" applyBorder="1" applyAlignment="1">
      <alignment horizontal="center" vertical="center"/>
    </xf>
    <xf numFmtId="13" fontId="1" fillId="0" borderId="68" xfId="0" applyNumberFormat="1" applyFont="1" applyBorder="1" applyAlignment="1">
      <alignment horizontal="center" vertical="center" wrapText="1"/>
    </xf>
    <xf numFmtId="13" fontId="1" fillId="0" borderId="72" xfId="0" applyNumberFormat="1" applyFont="1" applyBorder="1" applyAlignment="1">
      <alignment horizontal="center" vertical="center" wrapText="1"/>
    </xf>
    <xf numFmtId="13" fontId="1" fillId="0" borderId="13" xfId="0" applyNumberFormat="1" applyFont="1" applyBorder="1" applyAlignment="1">
      <alignment horizontal="center" vertical="center" wrapText="1"/>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13" fontId="2" fillId="0" borderId="20" xfId="0" applyNumberFormat="1" applyFont="1" applyBorder="1" applyAlignment="1">
      <alignment horizontal="center" vertical="center" wrapText="1"/>
    </xf>
    <xf numFmtId="13" fontId="2" fillId="0" borderId="19" xfId="0" applyNumberFormat="1" applyFont="1" applyBorder="1" applyAlignment="1">
      <alignment horizontal="center" vertical="center" wrapText="1"/>
    </xf>
    <xf numFmtId="13" fontId="2" fillId="11" borderId="19" xfId="0" applyNumberFormat="1" applyFont="1" applyFill="1" applyBorder="1" applyAlignment="1">
      <alignment horizontal="center" vertical="center" wrapText="1"/>
    </xf>
    <xf numFmtId="13" fontId="2" fillId="11" borderId="71" xfId="0" applyNumberFormat="1" applyFont="1" applyFill="1" applyBorder="1" applyAlignment="1">
      <alignment horizontal="center" vertical="center" wrapText="1"/>
    </xf>
    <xf numFmtId="0" fontId="2" fillId="0" borderId="20" xfId="0" applyFont="1" applyBorder="1" applyAlignment="1">
      <alignment horizontal="center" vertical="center" wrapText="1"/>
    </xf>
    <xf numFmtId="0" fontId="2" fillId="0" borderId="19" xfId="0" applyFont="1" applyBorder="1" applyAlignment="1">
      <alignment horizontal="center" vertical="center" wrapText="1"/>
    </xf>
    <xf numFmtId="0" fontId="2" fillId="11" borderId="19" xfId="0" applyFont="1" applyFill="1" applyBorder="1" applyAlignment="1">
      <alignment horizontal="center" vertical="center" wrapText="1"/>
    </xf>
    <xf numFmtId="0" fontId="2" fillId="11"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26" fillId="8" borderId="51" xfId="0" applyFont="1" applyFill="1" applyBorder="1" applyAlignment="1">
      <alignment horizontal="center" vertical="center" wrapText="1"/>
    </xf>
    <xf numFmtId="13" fontId="2" fillId="0" borderId="17" xfId="0" applyNumberFormat="1" applyFont="1" applyBorder="1" applyAlignment="1">
      <alignment horizontal="center" vertical="center" wrapText="1"/>
    </xf>
    <xf numFmtId="13" fontId="2" fillId="0" borderId="1" xfId="0" applyNumberFormat="1" applyFont="1" applyBorder="1" applyAlignment="1">
      <alignment horizontal="center" vertical="center" wrapText="1"/>
    </xf>
    <xf numFmtId="13" fontId="2" fillId="0" borderId="3" xfId="0" applyNumberFormat="1"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13" fontId="2" fillId="7" borderId="15" xfId="0" applyNumberFormat="1" applyFont="1" applyFill="1" applyBorder="1" applyAlignment="1">
      <alignment horizontal="center" vertical="center" wrapText="1"/>
    </xf>
    <xf numFmtId="13" fontId="2" fillId="0" borderId="14" xfId="0" applyNumberFormat="1" applyFont="1" applyBorder="1" applyAlignment="1">
      <alignment horizontal="center" vertical="center" wrapText="1"/>
    </xf>
    <xf numFmtId="13" fontId="2" fillId="7" borderId="14" xfId="0" applyNumberFormat="1" applyFont="1" applyFill="1" applyBorder="1" applyAlignment="1">
      <alignment horizontal="center" vertical="center" wrapText="1"/>
    </xf>
    <xf numFmtId="13" fontId="2" fillId="0" borderId="72" xfId="0" applyNumberFormat="1" applyFont="1" applyBorder="1" applyAlignment="1">
      <alignment horizontal="center" vertical="center" wrapText="1"/>
    </xf>
    <xf numFmtId="0" fontId="2" fillId="7" borderId="15"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7" borderId="14"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70" xfId="0" applyFont="1" applyBorder="1" applyAlignment="1">
      <alignment horizontal="center" vertical="center" wrapText="1"/>
    </xf>
    <xf numFmtId="0" fontId="26" fillId="8" borderId="73" xfId="0" applyFont="1" applyFill="1" applyBorder="1" applyAlignment="1">
      <alignment horizontal="center" vertical="center" wrapText="1"/>
    </xf>
    <xf numFmtId="0" fontId="26" fillId="8" borderId="74" xfId="0" applyFont="1" applyFill="1" applyBorder="1" applyAlignment="1">
      <alignment horizontal="center" vertical="center" wrapText="1"/>
    </xf>
    <xf numFmtId="0" fontId="0" fillId="0" borderId="3" xfId="0" applyBorder="1" applyAlignment="1">
      <alignment horizontal="center" vertical="center"/>
    </xf>
    <xf numFmtId="13" fontId="5" fillId="0" borderId="20" xfId="0" applyNumberFormat="1" applyFont="1" applyBorder="1" applyAlignment="1">
      <alignment horizontal="center" vertical="center"/>
    </xf>
    <xf numFmtId="1" fontId="5" fillId="11" borderId="19" xfId="0" applyNumberFormat="1" applyFont="1" applyFill="1" applyBorder="1" applyAlignment="1">
      <alignment horizontal="center" vertical="center"/>
    </xf>
    <xf numFmtId="13" fontId="5" fillId="0" borderId="15" xfId="0" applyNumberFormat="1" applyFont="1" applyBorder="1" applyAlignment="1">
      <alignment horizontal="center" vertical="center"/>
    </xf>
    <xf numFmtId="1" fontId="5" fillId="7" borderId="14" xfId="0" applyNumberFormat="1" applyFont="1" applyFill="1" applyBorder="1" applyAlignment="1">
      <alignment horizontal="center" vertical="center"/>
    </xf>
    <xf numFmtId="13" fontId="0" fillId="0" borderId="37" xfId="0" applyNumberFormat="1" applyBorder="1" applyAlignment="1">
      <alignment horizontal="center" vertical="center"/>
    </xf>
    <xf numFmtId="1" fontId="0" fillId="11" borderId="6" xfId="0" applyNumberFormat="1" applyFill="1" applyBorder="1" applyAlignment="1">
      <alignment horizontal="center" vertical="center"/>
    </xf>
    <xf numFmtId="1" fontId="0" fillId="0" borderId="80" xfId="0" applyNumberFormat="1" applyBorder="1" applyAlignment="1">
      <alignment horizontal="center" vertical="center"/>
    </xf>
    <xf numFmtId="13" fontId="0" fillId="0" borderId="17" xfId="0" applyNumberFormat="1" applyBorder="1" applyAlignment="1">
      <alignment horizontal="center" vertical="center"/>
    </xf>
    <xf numFmtId="1" fontId="0" fillId="0" borderId="1" xfId="0" applyNumberFormat="1" applyBorder="1" applyAlignment="1">
      <alignment horizontal="center" vertical="center"/>
    </xf>
    <xf numFmtId="1" fontId="0" fillId="0" borderId="16" xfId="0" applyNumberFormat="1" applyBorder="1" applyAlignment="1">
      <alignment horizontal="center" vertical="center"/>
    </xf>
    <xf numFmtId="1" fontId="0" fillId="7" borderId="1" xfId="0" applyNumberFormat="1" applyFill="1" applyBorder="1" applyAlignment="1">
      <alignment horizontal="center" vertical="center"/>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4" borderId="4" xfId="0" applyFill="1" applyBorder="1" applyAlignment="1">
      <alignment vertical="center"/>
    </xf>
    <xf numFmtId="0" fontId="21" fillId="4" borderId="4" xfId="0" applyFont="1" applyFill="1" applyBorder="1" applyAlignment="1">
      <alignment horizontal="left" vertical="center" wrapText="1"/>
    </xf>
    <xf numFmtId="0" fontId="21" fillId="8" borderId="76" xfId="0" applyFont="1" applyFill="1" applyBorder="1" applyAlignment="1">
      <alignment horizontal="left" vertical="center" wrapText="1"/>
    </xf>
    <xf numFmtId="164" fontId="22" fillId="0" borderId="20" xfId="0" applyNumberFormat="1" applyFont="1" applyBorder="1" applyAlignment="1">
      <alignment horizontal="center" vertical="center" wrapText="1"/>
    </xf>
    <xf numFmtId="164" fontId="22" fillId="0" borderId="18" xfId="0" applyNumberFormat="1" applyFont="1" applyBorder="1" applyAlignment="1">
      <alignment horizontal="center" vertical="center" wrapText="1"/>
    </xf>
    <xf numFmtId="0" fontId="21" fillId="8" borderId="22" xfId="0" applyFont="1" applyFill="1" applyBorder="1" applyAlignment="1">
      <alignment horizontal="left" vertical="center" wrapText="1"/>
    </xf>
    <xf numFmtId="164" fontId="22" fillId="0" borderId="15" xfId="0" applyNumberFormat="1" applyFont="1" applyBorder="1" applyAlignment="1">
      <alignment horizontal="center" vertical="center" wrapText="1"/>
    </xf>
    <xf numFmtId="164" fontId="22" fillId="0" borderId="13" xfId="0" applyNumberFormat="1" applyFont="1" applyBorder="1" applyAlignment="1">
      <alignment horizontal="center" vertical="center" wrapText="1"/>
    </xf>
    <xf numFmtId="0" fontId="21" fillId="8" borderId="21" xfId="0" applyFont="1" applyFill="1" applyBorder="1" applyAlignment="1">
      <alignment horizontal="left" vertical="center" wrapText="1"/>
    </xf>
    <xf numFmtId="0" fontId="54" fillId="0" borderId="25" xfId="0" applyFont="1" applyBorder="1" applyAlignment="1">
      <alignment horizontal="center" vertical="center" wrapText="1"/>
    </xf>
    <xf numFmtId="0" fontId="54" fillId="0" borderId="23" xfId="0" applyFont="1" applyBorder="1" applyAlignment="1">
      <alignment horizontal="center" vertical="center" wrapText="1"/>
    </xf>
    <xf numFmtId="0" fontId="55" fillId="8" borderId="9" xfId="0" applyFont="1" applyFill="1" applyBorder="1" applyAlignment="1">
      <alignment horizontal="left" vertical="center" wrapText="1"/>
    </xf>
    <xf numFmtId="3" fontId="22" fillId="0" borderId="20" xfId="0" applyNumberFormat="1" applyFont="1" applyBorder="1" applyAlignment="1">
      <alignment horizontal="center" vertical="center" wrapText="1"/>
    </xf>
    <xf numFmtId="3" fontId="22" fillId="0" borderId="18" xfId="0" applyNumberFormat="1" applyFont="1" applyBorder="1" applyAlignment="1">
      <alignment horizontal="center" vertical="center" wrapText="1"/>
    </xf>
    <xf numFmtId="3" fontId="22" fillId="0" borderId="67" xfId="0" applyNumberFormat="1" applyFont="1" applyBorder="1" applyAlignment="1">
      <alignment horizontal="center" vertical="center" wrapText="1"/>
    </xf>
    <xf numFmtId="3" fontId="22" fillId="0" borderId="71" xfId="0" applyNumberFormat="1" applyFont="1" applyBorder="1" applyAlignment="1">
      <alignment horizontal="center" vertical="center" wrapText="1"/>
    </xf>
    <xf numFmtId="3" fontId="22" fillId="0" borderId="15" xfId="0" applyNumberFormat="1" applyFont="1" applyBorder="1" applyAlignment="1">
      <alignment horizontal="center" vertical="center" wrapText="1"/>
    </xf>
    <xf numFmtId="3" fontId="22" fillId="0" borderId="13" xfId="0" applyNumberFormat="1" applyFont="1" applyBorder="1" applyAlignment="1">
      <alignment horizontal="center" vertical="center" wrapText="1"/>
    </xf>
    <xf numFmtId="3" fontId="22" fillId="0" borderId="70" xfId="0" applyNumberFormat="1" applyFont="1" applyBorder="1" applyAlignment="1">
      <alignment horizontal="center" vertical="center" wrapText="1"/>
    </xf>
    <xf numFmtId="3" fontId="22" fillId="0" borderId="72" xfId="0" applyNumberFormat="1" applyFont="1" applyBorder="1" applyAlignment="1">
      <alignment horizontal="center" vertical="center" wrapText="1"/>
    </xf>
    <xf numFmtId="0" fontId="21" fillId="8" borderId="10" xfId="0" applyFont="1" applyFill="1" applyBorder="1" applyAlignment="1">
      <alignment horizontal="left" vertical="center" wrapText="1"/>
    </xf>
    <xf numFmtId="3" fontId="22" fillId="0" borderId="81" xfId="0" applyNumberFormat="1" applyFont="1" applyBorder="1" applyAlignment="1">
      <alignment horizontal="center" vertical="center" wrapText="1"/>
    </xf>
    <xf numFmtId="12" fontId="22" fillId="0" borderId="20" xfId="0" applyNumberFormat="1" applyFont="1" applyBorder="1" applyAlignment="1">
      <alignment horizontal="center" vertical="center" wrapText="1"/>
    </xf>
    <xf numFmtId="12" fontId="22" fillId="0" borderId="18" xfId="0" applyNumberFormat="1" applyFont="1" applyBorder="1" applyAlignment="1">
      <alignment horizontal="center" vertical="center" wrapText="1"/>
    </xf>
    <xf numFmtId="12" fontId="22" fillId="0" borderId="67" xfId="0" applyNumberFormat="1" applyFont="1" applyBorder="1" applyAlignment="1">
      <alignment horizontal="center" vertical="center" wrapText="1"/>
    </xf>
    <xf numFmtId="12" fontId="22" fillId="0" borderId="71" xfId="0" applyNumberFormat="1" applyFont="1" applyBorder="1" applyAlignment="1">
      <alignment horizontal="center" vertical="center" wrapText="1"/>
    </xf>
    <xf numFmtId="12" fontId="56" fillId="0" borderId="20" xfId="0" applyNumberFormat="1" applyFont="1" applyBorder="1" applyAlignment="1">
      <alignment horizontal="center" vertical="center" wrapText="1"/>
    </xf>
    <xf numFmtId="12" fontId="56" fillId="0" borderId="18" xfId="0" applyNumberFormat="1" applyFont="1" applyBorder="1" applyAlignment="1">
      <alignment horizontal="center" vertical="center" wrapText="1"/>
    </xf>
    <xf numFmtId="0" fontId="56" fillId="0" borderId="20" xfId="0" applyFont="1" applyBorder="1" applyAlignment="1">
      <alignment horizontal="center" vertical="center" wrapText="1"/>
    </xf>
    <xf numFmtId="0" fontId="56" fillId="0" borderId="18" xfId="0" applyFont="1" applyBorder="1" applyAlignment="1">
      <alignment horizontal="center" vertical="center" wrapText="1"/>
    </xf>
    <xf numFmtId="12" fontId="22" fillId="0" borderId="15" xfId="0" applyNumberFormat="1" applyFont="1" applyBorder="1" applyAlignment="1">
      <alignment horizontal="center" vertical="center" wrapText="1"/>
    </xf>
    <xf numFmtId="12" fontId="22" fillId="0" borderId="13" xfId="0" applyNumberFormat="1" applyFont="1" applyBorder="1" applyAlignment="1">
      <alignment horizontal="center" vertical="center" wrapText="1"/>
    </xf>
    <xf numFmtId="12" fontId="22" fillId="0" borderId="70" xfId="0" applyNumberFormat="1" applyFont="1" applyBorder="1" applyAlignment="1">
      <alignment horizontal="center" vertical="center" wrapText="1"/>
    </xf>
    <xf numFmtId="12" fontId="22" fillId="0" borderId="72" xfId="0" applyNumberFormat="1" applyFont="1" applyBorder="1" applyAlignment="1">
      <alignment horizontal="center" vertical="center" wrapText="1"/>
    </xf>
    <xf numFmtId="12" fontId="56" fillId="0" borderId="15" xfId="0" applyNumberFormat="1" applyFont="1" applyBorder="1" applyAlignment="1">
      <alignment horizontal="center" vertical="center" wrapText="1"/>
    </xf>
    <xf numFmtId="12" fontId="56" fillId="0" borderId="13" xfId="0" applyNumberFormat="1" applyFont="1" applyBorder="1" applyAlignment="1">
      <alignment horizontal="center" vertical="center" wrapText="1"/>
    </xf>
    <xf numFmtId="0" fontId="56" fillId="0" borderId="15" xfId="0" applyFont="1" applyBorder="1" applyAlignment="1">
      <alignment horizontal="center" vertical="center" wrapText="1"/>
    </xf>
    <xf numFmtId="0" fontId="56" fillId="0" borderId="13" xfId="0" applyFont="1" applyBorder="1" applyAlignment="1">
      <alignment horizontal="center" vertical="center" wrapText="1"/>
    </xf>
    <xf numFmtId="0" fontId="21" fillId="8" borderId="83" xfId="0" applyFont="1" applyFill="1" applyBorder="1" applyAlignment="1">
      <alignment horizontal="left" vertical="center" wrapText="1"/>
    </xf>
    <xf numFmtId="0" fontId="21" fillId="8" borderId="2" xfId="0" applyFont="1" applyFill="1" applyBorder="1" applyAlignment="1">
      <alignment horizontal="left" vertical="center" wrapText="1"/>
    </xf>
    <xf numFmtId="3" fontId="22" fillId="0" borderId="27" xfId="0" applyNumberFormat="1" applyFont="1" applyBorder="1" applyAlignment="1">
      <alignment horizontal="center" vertical="center" wrapText="1"/>
    </xf>
    <xf numFmtId="3" fontId="22" fillId="0" borderId="26" xfId="0" applyNumberFormat="1" applyFont="1" applyBorder="1" applyAlignment="1">
      <alignment horizontal="center" vertical="center" wrapText="1"/>
    </xf>
    <xf numFmtId="0" fontId="57" fillId="0" borderId="20" xfId="0" applyFont="1" applyBorder="1" applyAlignment="1">
      <alignment horizontal="center" vertical="center" wrapText="1"/>
    </xf>
    <xf numFmtId="0" fontId="57" fillId="0" borderId="18" xfId="0" applyFont="1" applyBorder="1" applyAlignment="1">
      <alignment horizontal="center" vertical="center" wrapText="1"/>
    </xf>
    <xf numFmtId="0" fontId="22" fillId="8" borderId="22" xfId="0" applyFont="1" applyFill="1" applyBorder="1" applyAlignment="1">
      <alignment horizontal="left" vertical="center" wrapText="1"/>
    </xf>
    <xf numFmtId="0" fontId="57" fillId="0" borderId="15" xfId="0" applyFont="1" applyBorder="1" applyAlignment="1">
      <alignment horizontal="center" vertical="center" wrapText="1"/>
    </xf>
    <xf numFmtId="0" fontId="57" fillId="0" borderId="13" xfId="0" applyFont="1" applyBorder="1" applyAlignment="1">
      <alignment horizontal="center" vertical="center" wrapText="1"/>
    </xf>
    <xf numFmtId="0" fontId="55" fillId="8" borderId="21" xfId="0" applyFont="1" applyFill="1" applyBorder="1" applyAlignment="1">
      <alignment horizontal="left" vertical="center" wrapText="1"/>
    </xf>
    <xf numFmtId="0" fontId="57" fillId="0" borderId="25" xfId="0" applyFont="1" applyBorder="1" applyAlignment="1">
      <alignment horizontal="center" vertical="center" wrapText="1"/>
    </xf>
    <xf numFmtId="0" fontId="57" fillId="0" borderId="23" xfId="0" applyFont="1" applyBorder="1" applyAlignment="1">
      <alignment horizontal="center" vertical="center" wrapText="1"/>
    </xf>
    <xf numFmtId="0" fontId="57" fillId="0" borderId="84" xfId="0" applyFont="1" applyBorder="1" applyAlignment="1">
      <alignment horizontal="center" vertical="center" wrapText="1"/>
    </xf>
    <xf numFmtId="0" fontId="57" fillId="0" borderId="85" xfId="0" applyFont="1" applyBorder="1" applyAlignment="1">
      <alignment horizontal="center" vertical="center" wrapText="1"/>
    </xf>
    <xf numFmtId="0" fontId="57" fillId="0" borderId="38" xfId="0" applyFont="1" applyBorder="1" applyAlignment="1">
      <alignment horizontal="center" vertical="center" wrapText="1"/>
    </xf>
    <xf numFmtId="0" fontId="57" fillId="0" borderId="81" xfId="0" applyFont="1" applyBorder="1" applyAlignment="1">
      <alignment horizontal="center" vertical="center" wrapText="1"/>
    </xf>
    <xf numFmtId="0" fontId="57" fillId="0" borderId="82" xfId="0" applyFont="1" applyBorder="1" applyAlignment="1">
      <alignment horizontal="center" vertical="center" wrapText="1"/>
    </xf>
    <xf numFmtId="0" fontId="6" fillId="0" borderId="1" xfId="0" applyFont="1" applyBorder="1" applyAlignment="1">
      <alignment vertical="center"/>
    </xf>
    <xf numFmtId="3" fontId="53" fillId="0" borderId="82" xfId="0" applyNumberFormat="1" applyFont="1" applyBorder="1" applyAlignment="1">
      <alignment horizontal="center" vertical="center" wrapText="1"/>
    </xf>
    <xf numFmtId="0" fontId="2" fillId="0" borderId="77" xfId="0" applyFont="1" applyBorder="1" applyAlignment="1">
      <alignment horizontal="center" vertical="center" wrapText="1"/>
    </xf>
    <xf numFmtId="0" fontId="61" fillId="8" borderId="9" xfId="0" applyFont="1" applyFill="1" applyBorder="1" applyAlignment="1">
      <alignment horizontal="left" vertical="center" wrapText="1"/>
    </xf>
    <xf numFmtId="0" fontId="22" fillId="0" borderId="76" xfId="0" applyFont="1" applyBorder="1" applyAlignment="1">
      <alignment horizontal="center" vertical="center" wrapText="1"/>
    </xf>
    <xf numFmtId="0" fontId="22" fillId="0" borderId="39"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39" xfId="0" applyFont="1" applyBorder="1" applyAlignment="1">
      <alignment horizontal="center" vertical="center" wrapText="1"/>
    </xf>
    <xf numFmtId="3" fontId="53" fillId="0" borderId="13" xfId="0" applyNumberFormat="1" applyFont="1" applyBorder="1" applyAlignment="1">
      <alignment horizontal="center" vertical="center" wrapText="1"/>
    </xf>
    <xf numFmtId="3" fontId="56" fillId="0" borderId="82" xfId="0" applyNumberFormat="1" applyFont="1" applyBorder="1" applyAlignment="1">
      <alignment horizontal="center" vertical="center" wrapText="1"/>
    </xf>
    <xf numFmtId="3" fontId="56" fillId="0" borderId="81" xfId="0" applyNumberFormat="1" applyFont="1" applyBorder="1" applyAlignment="1">
      <alignment horizontal="center" vertical="center" wrapText="1"/>
    </xf>
    <xf numFmtId="3" fontId="22" fillId="0" borderId="85" xfId="0" applyNumberFormat="1" applyFont="1" applyBorder="1" applyAlignment="1">
      <alignment horizontal="center" vertical="center" wrapText="1"/>
    </xf>
    <xf numFmtId="3" fontId="22" fillId="0" borderId="84" xfId="0" applyNumberFormat="1" applyFont="1" applyBorder="1" applyAlignment="1">
      <alignment horizontal="center" vertical="center" wrapText="1"/>
    </xf>
    <xf numFmtId="3" fontId="22" fillId="0" borderId="36" xfId="0" applyNumberFormat="1" applyFont="1" applyBorder="1" applyAlignment="1">
      <alignment horizontal="center" vertical="center" wrapText="1"/>
    </xf>
    <xf numFmtId="3" fontId="22" fillId="0" borderId="8" xfId="0" applyNumberFormat="1" applyFont="1" applyBorder="1" applyAlignment="1">
      <alignment horizontal="center" vertical="center" wrapText="1"/>
    </xf>
    <xf numFmtId="3" fontId="22" fillId="12" borderId="13" xfId="0" applyNumberFormat="1" applyFont="1" applyFill="1" applyBorder="1" applyAlignment="1">
      <alignment horizontal="center" vertical="center" wrapText="1"/>
    </xf>
    <xf numFmtId="3" fontId="22" fillId="12" borderId="15" xfId="0" applyNumberFormat="1" applyFont="1" applyFill="1" applyBorder="1" applyAlignment="1">
      <alignment horizontal="center" vertical="center" wrapText="1"/>
    </xf>
    <xf numFmtId="3" fontId="22" fillId="12" borderId="18" xfId="0" applyNumberFormat="1" applyFont="1" applyFill="1" applyBorder="1" applyAlignment="1">
      <alignment horizontal="center" vertical="center" wrapText="1"/>
    </xf>
    <xf numFmtId="3" fontId="22" fillId="12" borderId="20" xfId="0" applyNumberFormat="1" applyFont="1" applyFill="1" applyBorder="1" applyAlignment="1">
      <alignment horizontal="center" vertical="center" wrapText="1"/>
    </xf>
    <xf numFmtId="0" fontId="56" fillId="0" borderId="14" xfId="0" applyFont="1" applyBorder="1" applyAlignment="1">
      <alignment horizontal="center" vertical="center" wrapText="1"/>
    </xf>
    <xf numFmtId="0" fontId="56" fillId="0" borderId="70" xfId="0" applyFont="1" applyBorder="1" applyAlignment="1">
      <alignment horizontal="center" vertical="center" wrapText="1"/>
    </xf>
    <xf numFmtId="0" fontId="56" fillId="0" borderId="67" xfId="0" applyFont="1" applyBorder="1" applyAlignment="1">
      <alignment horizontal="center" vertical="center" wrapText="1"/>
    </xf>
    <xf numFmtId="0" fontId="55" fillId="8" borderId="8" xfId="0" applyFont="1" applyFill="1" applyBorder="1" applyAlignment="1">
      <alignment horizontal="left" vertical="center" wrapText="1"/>
    </xf>
    <xf numFmtId="0" fontId="21" fillId="8" borderId="88" xfId="0" applyFont="1" applyFill="1" applyBorder="1" applyAlignment="1">
      <alignment horizontal="left" vertical="center" wrapText="1"/>
    </xf>
    <xf numFmtId="0" fontId="56" fillId="0" borderId="34" xfId="0" applyFont="1" applyBorder="1" applyAlignment="1">
      <alignment horizontal="center" vertical="center" wrapText="1"/>
    </xf>
    <xf numFmtId="0" fontId="56" fillId="0" borderId="81" xfId="0" applyFont="1" applyBorder="1" applyAlignment="1">
      <alignment horizontal="center" vertical="center" wrapText="1"/>
    </xf>
    <xf numFmtId="0" fontId="56" fillId="0" borderId="82" xfId="0" applyFont="1" applyBorder="1" applyAlignment="1">
      <alignment horizontal="center" vertical="center" wrapText="1"/>
    </xf>
    <xf numFmtId="0" fontId="21" fillId="8" borderId="86" xfId="0" applyFont="1" applyFill="1" applyBorder="1" applyAlignment="1">
      <alignment horizontal="left" vertical="center" wrapText="1"/>
    </xf>
    <xf numFmtId="10" fontId="22" fillId="0" borderId="13" xfId="2" applyNumberFormat="1" applyFont="1" applyBorder="1" applyAlignment="1">
      <alignment horizontal="center" vertical="center" wrapText="1"/>
    </xf>
    <xf numFmtId="10" fontId="22" fillId="0" borderId="15" xfId="2" applyNumberFormat="1" applyFont="1" applyBorder="1" applyAlignment="1">
      <alignment horizontal="center" vertical="center" wrapText="1"/>
    </xf>
    <xf numFmtId="164" fontId="22" fillId="0" borderId="13" xfId="2" applyNumberFormat="1" applyFont="1" applyBorder="1" applyAlignment="1">
      <alignment horizontal="center" vertical="center" wrapText="1"/>
    </xf>
    <xf numFmtId="10" fontId="22" fillId="0" borderId="80" xfId="2" applyNumberFormat="1" applyFont="1" applyBorder="1" applyAlignment="1">
      <alignment horizontal="center" vertical="center" wrapText="1"/>
    </xf>
    <xf numFmtId="10" fontId="22" fillId="0" borderId="37" xfId="2" applyNumberFormat="1" applyFont="1" applyBorder="1" applyAlignment="1">
      <alignment horizontal="center" vertical="center" wrapText="1"/>
    </xf>
    <xf numFmtId="164" fontId="22" fillId="0" borderId="15" xfId="2" applyNumberFormat="1" applyFont="1" applyBorder="1" applyAlignment="1">
      <alignment horizontal="center" vertical="center" wrapText="1"/>
    </xf>
    <xf numFmtId="164" fontId="22" fillId="0" borderId="18" xfId="2" applyNumberFormat="1" applyFont="1" applyBorder="1" applyAlignment="1">
      <alignment horizontal="center" vertical="center" wrapText="1"/>
    </xf>
    <xf numFmtId="164" fontId="22" fillId="0" borderId="20" xfId="2" applyNumberFormat="1" applyFont="1" applyBorder="1" applyAlignment="1">
      <alignment horizontal="center" vertical="center" wrapText="1"/>
    </xf>
    <xf numFmtId="10" fontId="53" fillId="0" borderId="13" xfId="2" applyNumberFormat="1" applyFont="1" applyBorder="1" applyAlignment="1">
      <alignment horizontal="center" vertical="center" wrapText="1"/>
    </xf>
    <xf numFmtId="10" fontId="53" fillId="0" borderId="18" xfId="2" applyNumberFormat="1" applyFont="1" applyBorder="1" applyAlignment="1">
      <alignment horizontal="center" vertical="center" wrapText="1"/>
    </xf>
    <xf numFmtId="0" fontId="59" fillId="0" borderId="15" xfId="0" applyFont="1" applyBorder="1" applyAlignment="1">
      <alignment horizontal="center" vertical="center" wrapText="1"/>
    </xf>
    <xf numFmtId="171" fontId="56" fillId="0" borderId="13" xfId="2" applyNumberFormat="1" applyFont="1" applyBorder="1" applyAlignment="1">
      <alignment horizontal="center" vertical="center" wrapText="1"/>
    </xf>
    <xf numFmtId="10" fontId="53" fillId="0" borderId="70" xfId="2" applyNumberFormat="1" applyFont="1" applyBorder="1" applyAlignment="1">
      <alignment horizontal="center" vertical="center" wrapText="1"/>
    </xf>
    <xf numFmtId="10" fontId="53" fillId="0" borderId="67" xfId="2" applyNumberFormat="1" applyFont="1" applyBorder="1" applyAlignment="1">
      <alignment horizontal="center" vertical="center" wrapText="1"/>
    </xf>
    <xf numFmtId="164" fontId="22" fillId="0" borderId="26" xfId="2" applyNumberFormat="1" applyFont="1" applyBorder="1" applyAlignment="1">
      <alignment horizontal="center" vertical="center" wrapText="1"/>
    </xf>
    <xf numFmtId="164" fontId="22" fillId="0" borderId="27" xfId="2" applyNumberFormat="1" applyFont="1" applyBorder="1" applyAlignment="1">
      <alignment horizontal="center" vertical="center" wrapText="1"/>
    </xf>
    <xf numFmtId="171" fontId="56" fillId="0" borderId="15" xfId="2" applyNumberFormat="1" applyFont="1" applyBorder="1" applyAlignment="1">
      <alignment horizontal="center" vertical="center" wrapText="1"/>
    </xf>
    <xf numFmtId="171" fontId="56" fillId="0" borderId="18" xfId="2" applyNumberFormat="1" applyFont="1" applyBorder="1" applyAlignment="1">
      <alignment horizontal="center" vertical="center" wrapText="1"/>
    </xf>
    <xf numFmtId="171" fontId="56" fillId="0" borderId="20" xfId="2" applyNumberFormat="1" applyFont="1" applyBorder="1" applyAlignment="1">
      <alignment horizontal="center" vertical="center" wrapText="1"/>
    </xf>
    <xf numFmtId="171" fontId="56" fillId="0" borderId="70" xfId="2" applyNumberFormat="1" applyFont="1" applyBorder="1" applyAlignment="1">
      <alignment horizontal="center" vertical="center" wrapText="1"/>
    </xf>
    <xf numFmtId="171" fontId="56" fillId="0" borderId="67" xfId="2" applyNumberFormat="1" applyFont="1" applyBorder="1" applyAlignment="1">
      <alignment horizontal="center" vertical="center" wrapText="1"/>
    </xf>
    <xf numFmtId="0" fontId="58" fillId="0" borderId="38" xfId="0" applyFont="1" applyBorder="1" applyAlignment="1">
      <alignment horizontal="center" vertical="center" wrapText="1"/>
    </xf>
    <xf numFmtId="0" fontId="58" fillId="0" borderId="25" xfId="0" applyFont="1" applyBorder="1" applyAlignment="1">
      <alignment horizontal="center" vertical="center" wrapText="1"/>
    </xf>
    <xf numFmtId="0" fontId="58" fillId="0" borderId="85" xfId="0" applyFont="1" applyBorder="1" applyAlignment="1">
      <alignment horizontal="center" vertical="center" wrapText="1"/>
    </xf>
    <xf numFmtId="0" fontId="58" fillId="0" borderId="84" xfId="0" applyFont="1" applyBorder="1" applyAlignment="1">
      <alignment horizontal="center" vertical="center" wrapText="1"/>
    </xf>
    <xf numFmtId="0" fontId="58" fillId="0" borderId="23" xfId="0" applyFont="1" applyBorder="1" applyAlignment="1">
      <alignment horizontal="center" vertical="center" wrapText="1"/>
    </xf>
    <xf numFmtId="0" fontId="21" fillId="8" borderId="89" xfId="0" applyFont="1" applyFill="1" applyBorder="1" applyAlignment="1">
      <alignment horizontal="left" vertical="center" wrapText="1"/>
    </xf>
    <xf numFmtId="3" fontId="56" fillId="0" borderId="26" xfId="2" applyNumberFormat="1" applyFont="1" applyBorder="1" applyAlignment="1">
      <alignment horizontal="center" vertical="center" wrapText="1"/>
    </xf>
    <xf numFmtId="3" fontId="56" fillId="0" borderId="27" xfId="2" applyNumberFormat="1" applyFont="1" applyBorder="1" applyAlignment="1">
      <alignment horizontal="center" vertical="center" wrapText="1"/>
    </xf>
    <xf numFmtId="3" fontId="56" fillId="0" borderId="18" xfId="2" applyNumberFormat="1" applyFont="1" applyBorder="1" applyAlignment="1">
      <alignment horizontal="center" vertical="center" wrapText="1"/>
    </xf>
    <xf numFmtId="3" fontId="56" fillId="0" borderId="20" xfId="2" applyNumberFormat="1" applyFont="1" applyBorder="1" applyAlignment="1">
      <alignment horizontal="center" vertical="center" wrapText="1"/>
    </xf>
    <xf numFmtId="3" fontId="58" fillId="0" borderId="26" xfId="2" applyNumberFormat="1" applyFont="1" applyBorder="1" applyAlignment="1">
      <alignment horizontal="center" vertical="center" wrapText="1"/>
    </xf>
    <xf numFmtId="3" fontId="58" fillId="0" borderId="27" xfId="2" applyNumberFormat="1" applyFont="1" applyBorder="1" applyAlignment="1">
      <alignment horizontal="center" vertical="center" wrapText="1"/>
    </xf>
    <xf numFmtId="3" fontId="58" fillId="0" borderId="80" xfId="2" applyNumberFormat="1" applyFont="1" applyBorder="1" applyAlignment="1">
      <alignment horizontal="center" vertical="center" wrapText="1"/>
    </xf>
    <xf numFmtId="3" fontId="58" fillId="0" borderId="37" xfId="2" applyNumberFormat="1" applyFont="1" applyBorder="1" applyAlignment="1">
      <alignment horizontal="center" vertical="center" wrapText="1"/>
    </xf>
    <xf numFmtId="0" fontId="70" fillId="0" borderId="1" xfId="0" applyFont="1" applyBorder="1" applyAlignment="1">
      <alignment horizontal="center" vertical="center"/>
    </xf>
    <xf numFmtId="0" fontId="71" fillId="0" borderId="1" xfId="0" applyFont="1" applyBorder="1" applyAlignment="1">
      <alignment horizontal="center" vertical="center"/>
    </xf>
    <xf numFmtId="0" fontId="0" fillId="7" borderId="1" xfId="0" applyFill="1" applyBorder="1" applyAlignment="1">
      <alignment horizontal="center" vertical="center"/>
    </xf>
    <xf numFmtId="0" fontId="65" fillId="0" borderId="1" xfId="0" applyFont="1" applyBorder="1" applyAlignment="1">
      <alignment horizontal="center" vertical="center"/>
    </xf>
    <xf numFmtId="0" fontId="69" fillId="0" borderId="1" xfId="0" applyFont="1" applyBorder="1" applyAlignment="1">
      <alignment horizontal="center" vertical="center"/>
    </xf>
    <xf numFmtId="0" fontId="68" fillId="0" borderId="1" xfId="0" applyFont="1" applyBorder="1" applyAlignment="1">
      <alignment horizontal="center" vertical="center"/>
    </xf>
    <xf numFmtId="0" fontId="72" fillId="0" borderId="1" xfId="0" applyFont="1" applyBorder="1" applyAlignment="1">
      <alignment horizontal="center" vertical="center"/>
    </xf>
    <xf numFmtId="0" fontId="74" fillId="0" borderId="1" xfId="0" applyFont="1" applyBorder="1" applyAlignment="1">
      <alignment horizontal="center" vertical="center"/>
    </xf>
    <xf numFmtId="0" fontId="65" fillId="0" borderId="1" xfId="0" applyFont="1" applyBorder="1" applyAlignment="1">
      <alignment horizontal="center" vertical="center" wrapText="1"/>
    </xf>
    <xf numFmtId="0" fontId="70" fillId="0" borderId="0" xfId="0" applyFont="1" applyAlignment="1">
      <alignment horizontal="center" vertical="center"/>
    </xf>
    <xf numFmtId="0" fontId="71" fillId="0" borderId="0" xfId="0" applyFont="1" applyAlignment="1">
      <alignment horizontal="center" vertical="center"/>
    </xf>
    <xf numFmtId="0" fontId="65" fillId="0" borderId="0" xfId="0" applyFont="1" applyAlignment="1">
      <alignment horizontal="center" vertical="center"/>
    </xf>
    <xf numFmtId="0" fontId="70" fillId="0" borderId="41" xfId="0" applyFont="1" applyBorder="1" applyAlignment="1">
      <alignment horizontal="center" vertical="center"/>
    </xf>
    <xf numFmtId="0" fontId="68" fillId="0" borderId="39" xfId="0" applyFont="1" applyBorder="1" applyAlignment="1">
      <alignment horizontal="center" vertical="center"/>
    </xf>
    <xf numFmtId="0" fontId="72" fillId="0" borderId="90" xfId="0" applyFont="1" applyBorder="1" applyAlignment="1">
      <alignment horizontal="center" vertical="center"/>
    </xf>
    <xf numFmtId="0" fontId="72" fillId="0" borderId="40" xfId="0" applyFont="1" applyBorder="1" applyAlignment="1">
      <alignment horizontal="center" vertical="center"/>
    </xf>
    <xf numFmtId="0" fontId="72" fillId="0" borderId="39" xfId="0" applyFont="1" applyBorder="1" applyAlignment="1">
      <alignment horizontal="center" vertical="center"/>
    </xf>
    <xf numFmtId="0" fontId="71" fillId="0" borderId="16" xfId="0" applyFont="1" applyBorder="1" applyAlignment="1">
      <alignment horizontal="center" vertical="center"/>
    </xf>
    <xf numFmtId="0" fontId="69" fillId="0" borderId="17" xfId="0" applyFont="1" applyBorder="1" applyAlignment="1">
      <alignment horizontal="center" vertical="center"/>
    </xf>
    <xf numFmtId="0" fontId="0" fillId="0" borderId="17" xfId="0" applyBorder="1" applyAlignment="1">
      <alignment horizontal="center" vertical="center"/>
    </xf>
    <xf numFmtId="0" fontId="71" fillId="0" borderId="18" xfId="0" applyFont="1" applyBorder="1" applyAlignment="1">
      <alignment horizontal="center" vertical="center"/>
    </xf>
    <xf numFmtId="0" fontId="69" fillId="0" borderId="20" xfId="0" applyFont="1" applyBorder="1" applyAlignment="1">
      <alignment horizontal="center" vertical="center"/>
    </xf>
    <xf numFmtId="0" fontId="0" fillId="0" borderId="71" xfId="0" applyBorder="1" applyAlignment="1">
      <alignment horizontal="center" vertical="center"/>
    </xf>
    <xf numFmtId="0" fontId="71" fillId="0" borderId="13" xfId="0" applyFont="1" applyBorder="1" applyAlignment="1">
      <alignment horizontal="center" vertical="center"/>
    </xf>
    <xf numFmtId="0" fontId="69" fillId="0" borderId="15" xfId="0" applyFont="1" applyBorder="1" applyAlignment="1">
      <alignment horizontal="center" vertical="center"/>
    </xf>
    <xf numFmtId="0" fontId="0" fillId="0" borderId="72" xfId="0" applyBorder="1" applyAlignment="1">
      <alignment horizontal="center" vertical="center"/>
    </xf>
    <xf numFmtId="0" fontId="44" fillId="0" borderId="1" xfId="0" applyFont="1" applyBorder="1" applyAlignment="1">
      <alignment horizontal="center" vertical="center"/>
    </xf>
    <xf numFmtId="0" fontId="5" fillId="0" borderId="91" xfId="0" applyFont="1" applyBorder="1" applyAlignment="1">
      <alignment horizontal="left" vertical="center"/>
    </xf>
    <xf numFmtId="0" fontId="5" fillId="2" borderId="92" xfId="0" applyFont="1" applyFill="1" applyBorder="1" applyAlignment="1">
      <alignment horizontal="center" vertical="center"/>
    </xf>
    <xf numFmtId="0" fontId="5" fillId="0" borderId="93" xfId="0" applyFont="1" applyBorder="1" applyAlignment="1">
      <alignment vertical="center"/>
    </xf>
    <xf numFmtId="0" fontId="5" fillId="0" borderId="94" xfId="0" applyFont="1" applyBorder="1" applyAlignment="1">
      <alignment horizontal="center" vertical="center"/>
    </xf>
    <xf numFmtId="0" fontId="5" fillId="0" borderId="95" xfId="0" applyFont="1" applyBorder="1" applyAlignment="1">
      <alignment vertical="center"/>
    </xf>
    <xf numFmtId="0" fontId="5" fillId="0" borderId="65" xfId="0" applyFont="1" applyBorder="1" applyAlignment="1">
      <alignment horizontal="center" vertical="center"/>
    </xf>
    <xf numFmtId="0" fontId="65" fillId="0" borderId="0" xfId="0" applyFont="1" applyAlignment="1">
      <alignment vertical="center"/>
    </xf>
    <xf numFmtId="0" fontId="13" fillId="0" borderId="91" xfId="0" applyFont="1" applyBorder="1" applyAlignment="1">
      <alignment vertical="center"/>
    </xf>
    <xf numFmtId="0" fontId="13" fillId="0" borderId="68" xfId="0" applyFont="1" applyBorder="1" applyAlignment="1">
      <alignment vertical="center"/>
    </xf>
    <xf numFmtId="0" fontId="8" fillId="0" borderId="0" xfId="0" applyFont="1" applyAlignment="1">
      <alignment vertical="center"/>
    </xf>
    <xf numFmtId="0" fontId="13" fillId="0" borderId="0" xfId="0" applyFont="1" applyAlignment="1">
      <alignment vertical="center"/>
    </xf>
    <xf numFmtId="0" fontId="80" fillId="0" borderId="13" xfId="0" applyFont="1" applyBorder="1" applyAlignment="1">
      <alignment vertical="center"/>
    </xf>
    <xf numFmtId="0" fontId="79" fillId="0" borderId="15" xfId="0" applyFont="1" applyBorder="1" applyAlignment="1">
      <alignment vertical="center"/>
    </xf>
    <xf numFmtId="0" fontId="69" fillId="0" borderId="0" xfId="0" applyFont="1" applyAlignment="1">
      <alignment vertical="center"/>
    </xf>
    <xf numFmtId="0" fontId="80" fillId="0" borderId="16" xfId="0" applyFont="1" applyBorder="1" applyAlignment="1">
      <alignment vertical="center"/>
    </xf>
    <xf numFmtId="0" fontId="79" fillId="0" borderId="17" xfId="0" applyFont="1" applyBorder="1" applyAlignment="1">
      <alignment vertical="center"/>
    </xf>
    <xf numFmtId="0" fontId="80" fillId="0" borderId="18" xfId="0" applyFont="1" applyBorder="1" applyAlignment="1">
      <alignment vertical="center"/>
    </xf>
    <xf numFmtId="0" fontId="79" fillId="0" borderId="20" xfId="0" applyFont="1" applyBorder="1" applyAlignment="1">
      <alignment vertical="center"/>
    </xf>
    <xf numFmtId="0" fontId="81" fillId="0" borderId="0" xfId="0" applyFont="1" applyAlignment="1">
      <alignment vertical="center"/>
    </xf>
    <xf numFmtId="166" fontId="81" fillId="0" borderId="0" xfId="0" applyNumberFormat="1" applyFont="1" applyAlignment="1">
      <alignment vertical="center"/>
    </xf>
    <xf numFmtId="0" fontId="13" fillId="0" borderId="41" xfId="0" applyFont="1" applyBorder="1" applyAlignment="1">
      <alignment vertical="center"/>
    </xf>
    <xf numFmtId="166" fontId="15" fillId="0" borderId="40" xfId="0" applyNumberFormat="1" applyFont="1" applyBorder="1" applyAlignment="1">
      <alignment horizontal="center" vertical="center"/>
    </xf>
    <xf numFmtId="0" fontId="15" fillId="0" borderId="39" xfId="0" applyFont="1" applyBorder="1" applyAlignment="1">
      <alignment horizontal="center" vertical="center"/>
    </xf>
    <xf numFmtId="0" fontId="82" fillId="0" borderId="26" xfId="0" applyFont="1" applyBorder="1" applyAlignment="1">
      <alignment horizontal="left" vertical="center"/>
    </xf>
    <xf numFmtId="0" fontId="82" fillId="0" borderId="4" xfId="0" applyFont="1" applyBorder="1" applyAlignment="1">
      <alignment horizontal="center" vertical="center"/>
    </xf>
    <xf numFmtId="0" fontId="82" fillId="0" borderId="27" xfId="0" applyFont="1" applyBorder="1" applyAlignment="1">
      <alignment horizontal="center" vertical="center"/>
    </xf>
    <xf numFmtId="0" fontId="71" fillId="0" borderId="0" xfId="0" applyFont="1" applyAlignment="1">
      <alignment vertical="center"/>
    </xf>
    <xf numFmtId="0" fontId="13" fillId="0" borderId="16" xfId="0" applyFont="1" applyBorder="1" applyAlignment="1">
      <alignment horizontal="left" vertical="center"/>
    </xf>
    <xf numFmtId="0" fontId="13" fillId="0" borderId="17" xfId="0" applyFont="1" applyBorder="1" applyAlignment="1">
      <alignment horizontal="center" vertical="center"/>
    </xf>
    <xf numFmtId="0" fontId="83" fillId="0" borderId="18" xfId="0" applyFont="1" applyBorder="1" applyAlignment="1">
      <alignment vertical="center"/>
    </xf>
    <xf numFmtId="166" fontId="81" fillId="2" borderId="19" xfId="0" applyNumberFormat="1" applyFont="1" applyFill="1" applyBorder="1" applyAlignment="1">
      <alignment vertical="center"/>
    </xf>
    <xf numFmtId="0" fontId="81" fillId="2" borderId="20" xfId="0" applyFont="1" applyFill="1" applyBorder="1" applyAlignment="1">
      <alignment vertical="center"/>
    </xf>
    <xf numFmtId="0" fontId="84" fillId="0" borderId="0" xfId="0" applyFont="1" applyAlignment="1">
      <alignment vertical="center"/>
    </xf>
    <xf numFmtId="0" fontId="79" fillId="0" borderId="41" xfId="0" applyFont="1" applyBorder="1" applyAlignment="1">
      <alignment vertical="center"/>
    </xf>
    <xf numFmtId="0" fontId="85" fillId="0" borderId="96" xfId="0" applyFont="1" applyBorder="1" applyAlignment="1">
      <alignment horizontal="left" vertical="center"/>
    </xf>
    <xf numFmtId="0" fontId="85" fillId="0" borderId="10" xfId="0" applyFont="1" applyBorder="1" applyAlignment="1">
      <alignment horizontal="center" vertical="center"/>
    </xf>
    <xf numFmtId="0" fontId="85" fillId="0" borderId="27" xfId="0" applyFont="1" applyBorder="1" applyAlignment="1">
      <alignment horizontal="center" vertical="center"/>
    </xf>
    <xf numFmtId="0" fontId="86" fillId="0" borderId="0" xfId="0" applyFont="1" applyAlignment="1">
      <alignment vertical="center"/>
    </xf>
    <xf numFmtId="0" fontId="79" fillId="0" borderId="16" xfId="0" applyFont="1" applyBorder="1" applyAlignment="1">
      <alignment horizontal="left" vertical="center"/>
    </xf>
    <xf numFmtId="0" fontId="5" fillId="0" borderId="17" xfId="0" applyFont="1" applyBorder="1" applyAlignment="1">
      <alignment horizontal="center" vertical="center"/>
    </xf>
    <xf numFmtId="0" fontId="87" fillId="0" borderId="18" xfId="0" applyFont="1" applyBorder="1" applyAlignment="1">
      <alignment vertical="center"/>
    </xf>
    <xf numFmtId="0" fontId="88" fillId="0" borderId="0" xfId="0" applyFont="1" applyAlignment="1">
      <alignment vertical="center"/>
    </xf>
    <xf numFmtId="0" fontId="0" fillId="0" borderId="40" xfId="0" applyBorder="1" applyAlignment="1">
      <alignment vertical="center"/>
    </xf>
    <xf numFmtId="0" fontId="44" fillId="0" borderId="39" xfId="0" applyFont="1" applyBorder="1" applyAlignment="1">
      <alignment vertical="center"/>
    </xf>
    <xf numFmtId="0" fontId="89" fillId="0" borderId="0" xfId="0" applyFont="1" applyAlignment="1">
      <alignment horizontal="center" vertical="center"/>
    </xf>
    <xf numFmtId="0" fontId="82" fillId="0" borderId="91" xfId="0" applyFont="1" applyBorder="1" applyAlignment="1">
      <alignment horizontal="center" vertical="center"/>
    </xf>
    <xf numFmtId="0" fontId="82" fillId="0" borderId="13" xfId="0" applyFont="1" applyBorder="1" applyAlignment="1">
      <alignment horizontal="center" vertical="center"/>
    </xf>
    <xf numFmtId="0" fontId="82" fillId="0" borderId="14" xfId="0" applyFont="1" applyBorder="1" applyAlignment="1">
      <alignment horizontal="center" vertical="center"/>
    </xf>
    <xf numFmtId="0" fontId="82" fillId="0" borderId="15" xfId="0" applyFont="1" applyBorder="1" applyAlignment="1">
      <alignment horizontal="center" vertical="center"/>
    </xf>
    <xf numFmtId="0" fontId="82" fillId="0" borderId="0" xfId="0" applyFont="1" applyAlignment="1">
      <alignment horizontal="center" vertical="center"/>
    </xf>
    <xf numFmtId="0" fontId="13" fillId="0" borderId="97" xfId="0" applyFont="1" applyBorder="1" applyAlignment="1">
      <alignment horizontal="center" vertical="center"/>
    </xf>
    <xf numFmtId="0" fontId="13" fillId="0" borderId="80" xfId="0" applyFont="1" applyBorder="1" applyAlignment="1">
      <alignment horizontal="center" vertical="center"/>
    </xf>
    <xf numFmtId="0" fontId="13" fillId="0" borderId="6" xfId="0" applyFont="1" applyBorder="1" applyAlignment="1">
      <alignment horizontal="center" vertical="center"/>
    </xf>
    <xf numFmtId="0" fontId="13" fillId="0" borderId="37" xfId="0" applyFont="1" applyBorder="1" applyAlignment="1">
      <alignment horizontal="center" vertical="center"/>
    </xf>
    <xf numFmtId="0" fontId="13" fillId="0" borderId="0" xfId="0" applyFont="1" applyAlignment="1">
      <alignment horizontal="center" vertical="center"/>
    </xf>
    <xf numFmtId="0" fontId="83" fillId="13" borderId="88" xfId="0" applyFont="1" applyFill="1" applyBorder="1" applyAlignment="1">
      <alignment horizontal="center" vertical="center"/>
    </xf>
    <xf numFmtId="166" fontId="83" fillId="13" borderId="41" xfId="0" applyNumberFormat="1" applyFont="1" applyFill="1" applyBorder="1" applyAlignment="1">
      <alignment horizontal="center" vertical="center"/>
    </xf>
    <xf numFmtId="166" fontId="83" fillId="13" borderId="40" xfId="0" applyNumberFormat="1" applyFont="1" applyFill="1" applyBorder="1" applyAlignment="1">
      <alignment horizontal="center" vertical="center"/>
    </xf>
    <xf numFmtId="166" fontId="83" fillId="13" borderId="39" xfId="0" applyNumberFormat="1" applyFont="1" applyFill="1" applyBorder="1" applyAlignment="1">
      <alignment horizontal="center" vertical="center"/>
    </xf>
    <xf numFmtId="0" fontId="83" fillId="13" borderId="0" xfId="0" applyFont="1" applyFill="1" applyAlignment="1">
      <alignment vertical="center"/>
    </xf>
    <xf numFmtId="0" fontId="0" fillId="13" borderId="0" xfId="0" applyFill="1" applyAlignment="1">
      <alignment vertical="center"/>
    </xf>
    <xf numFmtId="0" fontId="85" fillId="0" borderId="23" xfId="0" applyFont="1" applyBorder="1" applyAlignment="1">
      <alignment horizontal="center" vertical="center"/>
    </xf>
    <xf numFmtId="0" fontId="79" fillId="0" borderId="98" xfId="0" applyFont="1" applyBorder="1" applyAlignment="1">
      <alignment horizontal="center" vertical="center"/>
    </xf>
    <xf numFmtId="0" fontId="87" fillId="7" borderId="99" xfId="0" applyFont="1" applyFill="1" applyBorder="1" applyAlignment="1">
      <alignment horizontal="center" vertical="center"/>
    </xf>
    <xf numFmtId="0" fontId="87" fillId="0" borderId="99" xfId="0" applyFont="1" applyBorder="1" applyAlignment="1">
      <alignment horizontal="center" vertical="center"/>
    </xf>
    <xf numFmtId="0" fontId="87" fillId="0" borderId="1" xfId="0" applyFont="1" applyBorder="1" applyAlignment="1">
      <alignment vertical="center"/>
    </xf>
    <xf numFmtId="0" fontId="85" fillId="0" borderId="13" xfId="0" applyFont="1" applyBorder="1" applyAlignment="1">
      <alignment horizontal="center" vertical="center"/>
    </xf>
    <xf numFmtId="0" fontId="79" fillId="0" borderId="70" xfId="0" applyFont="1" applyBorder="1" applyAlignment="1">
      <alignment horizontal="center" vertical="center"/>
    </xf>
    <xf numFmtId="0" fontId="87" fillId="7" borderId="91" xfId="0" applyFont="1" applyFill="1" applyBorder="1" applyAlignment="1">
      <alignment horizontal="center" vertical="center"/>
    </xf>
    <xf numFmtId="0" fontId="91" fillId="0" borderId="16" xfId="0" applyFont="1" applyBorder="1" applyAlignment="1">
      <alignment horizontal="center" vertical="center"/>
    </xf>
    <xf numFmtId="0" fontId="91" fillId="0" borderId="1" xfId="0" applyFont="1" applyBorder="1" applyAlignment="1">
      <alignment horizontal="center" vertical="center"/>
    </xf>
    <xf numFmtId="0" fontId="91" fillId="0" borderId="17" xfId="0" applyFont="1" applyBorder="1" applyAlignment="1">
      <alignment horizontal="center" vertical="center"/>
    </xf>
    <xf numFmtId="0" fontId="88" fillId="0" borderId="16" xfId="0" applyFont="1" applyBorder="1" applyAlignment="1">
      <alignment horizontal="center" vertical="center"/>
    </xf>
    <xf numFmtId="0" fontId="87" fillId="0" borderId="1" xfId="0" applyFont="1" applyBorder="1" applyAlignment="1">
      <alignment horizontal="center" vertical="center"/>
    </xf>
    <xf numFmtId="0" fontId="88" fillId="0" borderId="0" xfId="0" applyFont="1" applyAlignment="1">
      <alignment vertical="center" wrapText="1"/>
    </xf>
    <xf numFmtId="0" fontId="85" fillId="0" borderId="16" xfId="0" applyFont="1" applyBorder="1" applyAlignment="1">
      <alignment horizontal="center" vertical="center"/>
    </xf>
    <xf numFmtId="0" fontId="79" fillId="0" borderId="2" xfId="0" applyFont="1" applyBorder="1" applyAlignment="1">
      <alignment horizontal="center" vertical="center"/>
    </xf>
    <xf numFmtId="0" fontId="87" fillId="7" borderId="93" xfId="0" applyFont="1" applyFill="1" applyBorder="1" applyAlignment="1">
      <alignment horizontal="center" vertical="center"/>
    </xf>
    <xf numFmtId="0" fontId="88" fillId="0" borderId="3" xfId="0" applyFont="1" applyBorder="1" applyAlignment="1">
      <alignment horizontal="center" vertical="center"/>
    </xf>
    <xf numFmtId="0" fontId="88" fillId="0" borderId="0" xfId="0" applyFont="1" applyAlignment="1">
      <alignment horizontal="left" vertical="center" wrapText="1"/>
    </xf>
    <xf numFmtId="0" fontId="85" fillId="0" borderId="18" xfId="0" applyFont="1" applyBorder="1" applyAlignment="1">
      <alignment horizontal="center" vertical="center"/>
    </xf>
    <xf numFmtId="0" fontId="79" fillId="0" borderId="67" xfId="0" applyFont="1" applyBorder="1" applyAlignment="1">
      <alignment horizontal="center" vertical="center"/>
    </xf>
    <xf numFmtId="0" fontId="87" fillId="7" borderId="95" xfId="0" applyFont="1" applyFill="1" applyBorder="1" applyAlignment="1">
      <alignment horizontal="center" vertical="center"/>
    </xf>
    <xf numFmtId="0" fontId="91" fillId="0" borderId="18" xfId="0" applyFont="1" applyBorder="1" applyAlignment="1">
      <alignment horizontal="center" vertical="center"/>
    </xf>
    <xf numFmtId="0" fontId="91" fillId="0" borderId="19" xfId="0" applyFont="1" applyBorder="1" applyAlignment="1">
      <alignment horizontal="center" vertical="center"/>
    </xf>
    <xf numFmtId="0" fontId="91" fillId="0" borderId="20" xfId="0" applyFont="1" applyBorder="1" applyAlignment="1">
      <alignment horizontal="center" vertical="center"/>
    </xf>
    <xf numFmtId="0" fontId="85" fillId="0" borderId="0" xfId="0" applyFont="1" applyAlignment="1">
      <alignment horizontal="center" vertical="center"/>
    </xf>
    <xf numFmtId="0" fontId="79" fillId="0" borderId="0" xfId="0" applyFont="1" applyAlignment="1">
      <alignment horizontal="center" vertical="center"/>
    </xf>
    <xf numFmtId="0" fontId="87" fillId="7" borderId="0" xfId="0" applyFont="1" applyFill="1" applyAlignment="1">
      <alignment horizontal="left" vertical="center"/>
    </xf>
    <xf numFmtId="0" fontId="91" fillId="7" borderId="0" xfId="0" applyFont="1" applyFill="1" applyAlignment="1">
      <alignment horizontal="center" vertical="center"/>
    </xf>
    <xf numFmtId="0" fontId="88" fillId="7" borderId="0" xfId="0" applyFont="1" applyFill="1" applyAlignment="1">
      <alignment horizontal="center" vertical="center"/>
    </xf>
    <xf numFmtId="0" fontId="88" fillId="7" borderId="0" xfId="0" applyFont="1" applyFill="1" applyAlignment="1">
      <alignment horizontal="left" vertical="center" wrapText="1"/>
    </xf>
    <xf numFmtId="0" fontId="85" fillId="0" borderId="21" xfId="0" applyFont="1" applyBorder="1" applyAlignment="1">
      <alignment horizontal="center" vertical="center"/>
    </xf>
    <xf numFmtId="0" fontId="85" fillId="0" borderId="14" xfId="0" applyFont="1" applyBorder="1" applyAlignment="1">
      <alignment horizontal="center" vertical="center"/>
    </xf>
    <xf numFmtId="0" fontId="85" fillId="0" borderId="15" xfId="0" applyFont="1" applyBorder="1" applyAlignment="1">
      <alignment horizontal="center" vertical="center"/>
    </xf>
    <xf numFmtId="0" fontId="79" fillId="0" borderId="100" xfId="0" applyFont="1" applyBorder="1" applyAlignment="1">
      <alignment horizontal="center" vertical="center"/>
    </xf>
    <xf numFmtId="0" fontId="79" fillId="0" borderId="80" xfId="0" applyFont="1" applyBorder="1" applyAlignment="1">
      <alignment horizontal="center" vertical="center"/>
    </xf>
    <xf numFmtId="0" fontId="79" fillId="0" borderId="6" xfId="0" applyFont="1" applyBorder="1" applyAlignment="1">
      <alignment horizontal="center" vertical="center"/>
    </xf>
    <xf numFmtId="0" fontId="79" fillId="0" borderId="37" xfId="0" applyFont="1" applyBorder="1" applyAlignment="1">
      <alignment horizontal="center" vertical="center"/>
    </xf>
    <xf numFmtId="0" fontId="87" fillId="13" borderId="76" xfId="0" applyFont="1" applyFill="1" applyBorder="1" applyAlignment="1">
      <alignment horizontal="center" vertical="center"/>
    </xf>
    <xf numFmtId="0" fontId="87" fillId="13" borderId="41" xfId="0" applyFont="1" applyFill="1" applyBorder="1" applyAlignment="1">
      <alignment horizontal="center" vertical="center"/>
    </xf>
    <xf numFmtId="0" fontId="87" fillId="13" borderId="40" xfId="0" applyFont="1" applyFill="1" applyBorder="1" applyAlignment="1">
      <alignment horizontal="center" vertical="center"/>
    </xf>
    <xf numFmtId="0" fontId="87" fillId="13" borderId="39" xfId="0" applyFont="1" applyFill="1" applyBorder="1" applyAlignment="1">
      <alignment horizontal="center" vertical="center"/>
    </xf>
    <xf numFmtId="0" fontId="87" fillId="13" borderId="0" xfId="0" applyFont="1" applyFill="1" applyAlignment="1">
      <alignment vertical="center"/>
    </xf>
    <xf numFmtId="0" fontId="88" fillId="13" borderId="0" xfId="0" applyFont="1" applyFill="1" applyAlignment="1">
      <alignment vertical="center"/>
    </xf>
    <xf numFmtId="0" fontId="82" fillId="0" borderId="23" xfId="0" applyFont="1" applyBorder="1" applyAlignment="1">
      <alignment horizontal="center" vertical="center"/>
    </xf>
    <xf numFmtId="0" fontId="13" fillId="0" borderId="98" xfId="0" applyFont="1" applyBorder="1" applyAlignment="1">
      <alignment horizontal="center" vertical="center"/>
    </xf>
    <xf numFmtId="0" fontId="83" fillId="7" borderId="83" xfId="0" applyFont="1" applyFill="1" applyBorder="1" applyAlignment="1">
      <alignment horizontal="center" vertical="center"/>
    </xf>
    <xf numFmtId="0" fontId="13" fillId="0" borderId="70" xfId="0" applyFont="1" applyBorder="1" applyAlignment="1">
      <alignment horizontal="center" vertical="center"/>
    </xf>
    <xf numFmtId="0" fontId="83" fillId="7" borderId="91" xfId="0" applyFont="1" applyFill="1" applyBorder="1" applyAlignment="1">
      <alignment horizontal="center" vertical="center"/>
    </xf>
    <xf numFmtId="0" fontId="91" fillId="0" borderId="3" xfId="0" applyFont="1" applyBorder="1" applyAlignment="1">
      <alignment horizontal="center" vertical="center"/>
    </xf>
    <xf numFmtId="0" fontId="84" fillId="0" borderId="3" xfId="0" applyFont="1" applyBorder="1" applyAlignment="1">
      <alignment horizontal="center" vertical="center"/>
    </xf>
    <xf numFmtId="0" fontId="84" fillId="0" borderId="0" xfId="0" applyFont="1" applyAlignment="1">
      <alignment vertical="center" wrapText="1"/>
    </xf>
    <xf numFmtId="0" fontId="82" fillId="0" borderId="16" xfId="0" applyFont="1" applyBorder="1" applyAlignment="1">
      <alignment horizontal="center" vertical="center"/>
    </xf>
    <xf numFmtId="0" fontId="13" fillId="0" borderId="2" xfId="0" applyFont="1" applyBorder="1" applyAlignment="1">
      <alignment horizontal="center" vertical="center"/>
    </xf>
    <xf numFmtId="0" fontId="83" fillId="7" borderId="93" xfId="0" applyFont="1" applyFill="1" applyBorder="1" applyAlignment="1">
      <alignment horizontal="center" vertical="center"/>
    </xf>
    <xf numFmtId="2" fontId="0" fillId="0" borderId="0" xfId="0" applyNumberFormat="1" applyAlignment="1">
      <alignment vertical="center"/>
    </xf>
    <xf numFmtId="0" fontId="82" fillId="0" borderId="18" xfId="0" applyFont="1" applyBorder="1" applyAlignment="1">
      <alignment horizontal="center" vertical="center"/>
    </xf>
    <xf numFmtId="0" fontId="13" fillId="0" borderId="67" xfId="0" applyFont="1" applyBorder="1" applyAlignment="1">
      <alignment horizontal="center" vertical="center"/>
    </xf>
    <xf numFmtId="0" fontId="83" fillId="7" borderId="95" xfId="0" applyFont="1" applyFill="1" applyBorder="1" applyAlignment="1">
      <alignment horizontal="center" vertical="center"/>
    </xf>
    <xf numFmtId="0" fontId="91" fillId="0" borderId="71" xfId="0" applyFont="1" applyBorder="1" applyAlignment="1">
      <alignment horizontal="center" vertical="center"/>
    </xf>
    <xf numFmtId="0" fontId="83" fillId="7" borderId="0" xfId="0" applyFont="1" applyFill="1" applyAlignment="1">
      <alignment horizontal="left" vertical="center"/>
    </xf>
    <xf numFmtId="0" fontId="0" fillId="7" borderId="0" xfId="0" applyFill="1" applyAlignment="1">
      <alignment vertical="center"/>
    </xf>
    <xf numFmtId="0" fontId="83" fillId="0" borderId="0" xfId="0" applyFont="1" applyAlignment="1">
      <alignment horizontal="left" vertical="center"/>
    </xf>
    <xf numFmtId="0" fontId="4" fillId="0" borderId="0" xfId="1" applyAlignment="1">
      <alignment vertical="center"/>
    </xf>
    <xf numFmtId="0" fontId="15" fillId="2" borderId="0" xfId="0" applyFont="1" applyFill="1" applyAlignment="1">
      <alignment vertical="center"/>
    </xf>
    <xf numFmtId="166" fontId="81" fillId="2" borderId="0" xfId="0" applyNumberFormat="1" applyFont="1" applyFill="1" applyAlignment="1">
      <alignment vertical="center"/>
    </xf>
    <xf numFmtId="0" fontId="81" fillId="2" borderId="0" xfId="0" applyFont="1" applyFill="1" applyAlignment="1">
      <alignment vertical="center"/>
    </xf>
    <xf numFmtId="0" fontId="0" fillId="2" borderId="0" xfId="0" applyFill="1" applyAlignment="1">
      <alignment vertical="center"/>
    </xf>
    <xf numFmtId="0" fontId="92" fillId="11" borderId="99" xfId="0" quotePrefix="1" applyFont="1" applyFill="1" applyBorder="1" applyAlignment="1">
      <alignment horizontal="center" vertical="center"/>
    </xf>
    <xf numFmtId="0" fontId="82" fillId="0" borderId="19" xfId="0" applyFont="1" applyBorder="1" applyAlignment="1">
      <alignment horizontal="center" vertical="center"/>
    </xf>
    <xf numFmtId="0" fontId="82" fillId="0" borderId="20" xfId="0" applyFont="1" applyBorder="1" applyAlignment="1">
      <alignment horizontal="center" vertical="center"/>
    </xf>
    <xf numFmtId="0" fontId="86" fillId="0" borderId="15" xfId="0" applyFont="1" applyBorder="1" applyAlignment="1">
      <alignment horizontal="center" vertical="center"/>
    </xf>
    <xf numFmtId="0" fontId="93" fillId="11" borderId="13" xfId="0" applyFont="1" applyFill="1" applyBorder="1" applyAlignment="1">
      <alignment horizontal="center" vertical="center"/>
    </xf>
    <xf numFmtId="0" fontId="93" fillId="11" borderId="14" xfId="0" applyFont="1" applyFill="1" applyBorder="1" applyAlignment="1">
      <alignment horizontal="center" vertical="center"/>
    </xf>
    <xf numFmtId="0" fontId="93" fillId="11" borderId="15" xfId="0" applyFont="1" applyFill="1" applyBorder="1" applyAlignment="1">
      <alignment horizontal="center" vertical="center"/>
    </xf>
    <xf numFmtId="0" fontId="93" fillId="0" borderId="0" xfId="0" applyFont="1" applyAlignment="1">
      <alignment horizontal="center" vertical="center"/>
    </xf>
    <xf numFmtId="0" fontId="86" fillId="0" borderId="17" xfId="0" applyFont="1" applyBorder="1" applyAlignment="1">
      <alignment horizontal="center" vertical="center"/>
    </xf>
    <xf numFmtId="0" fontId="93" fillId="11" borderId="16" xfId="0" applyFont="1" applyFill="1" applyBorder="1" applyAlignment="1">
      <alignment horizontal="center" vertical="center"/>
    </xf>
    <xf numFmtId="0" fontId="93" fillId="11" borderId="1" xfId="0" applyFont="1" applyFill="1" applyBorder="1" applyAlignment="1">
      <alignment horizontal="center" vertical="center"/>
    </xf>
    <xf numFmtId="0" fontId="93" fillId="11" borderId="17" xfId="0" applyFont="1" applyFill="1" applyBorder="1" applyAlignment="1">
      <alignment horizontal="center" vertical="center"/>
    </xf>
    <xf numFmtId="0" fontId="86" fillId="0" borderId="20" xfId="0" applyFont="1" applyBorder="1" applyAlignment="1">
      <alignment horizontal="center" vertical="center"/>
    </xf>
    <xf numFmtId="0" fontId="93" fillId="11" borderId="18" xfId="0" applyFont="1" applyFill="1" applyBorder="1" applyAlignment="1">
      <alignment horizontal="center" vertical="center"/>
    </xf>
    <xf numFmtId="0" fontId="93" fillId="11" borderId="19" xfId="0" applyFont="1" applyFill="1" applyBorder="1" applyAlignment="1">
      <alignment horizontal="center" vertical="center"/>
    </xf>
    <xf numFmtId="0" fontId="93" fillId="11" borderId="20" xfId="0" applyFont="1" applyFill="1" applyBorder="1" applyAlignment="1">
      <alignment horizontal="center" vertical="center"/>
    </xf>
    <xf numFmtId="0" fontId="81" fillId="0" borderId="1" xfId="0" applyFont="1" applyBorder="1" applyAlignment="1">
      <alignment vertical="center"/>
    </xf>
    <xf numFmtId="166" fontId="81" fillId="0" borderId="1" xfId="0" applyNumberFormat="1" applyFont="1" applyBorder="1" applyAlignment="1">
      <alignment vertical="center"/>
    </xf>
    <xf numFmtId="0" fontId="89" fillId="0" borderId="0" xfId="0" applyFont="1" applyAlignment="1">
      <alignment vertical="center"/>
    </xf>
    <xf numFmtId="0" fontId="89" fillId="0" borderId="13" xfId="0" applyFont="1" applyBorder="1" applyAlignment="1">
      <alignment horizontal="center" vertical="center"/>
    </xf>
    <xf numFmtId="0" fontId="89" fillId="0" borderId="14" xfId="0" applyFont="1" applyBorder="1" applyAlignment="1">
      <alignment horizontal="center" vertical="center"/>
    </xf>
    <xf numFmtId="0" fontId="89" fillId="0" borderId="15" xfId="0" applyFont="1" applyBorder="1" applyAlignment="1">
      <alignment horizontal="center" vertical="center"/>
    </xf>
    <xf numFmtId="0" fontId="89" fillId="0" borderId="16" xfId="0" applyFont="1" applyBorder="1" applyAlignment="1">
      <alignment horizontal="center" vertical="center"/>
    </xf>
    <xf numFmtId="0" fontId="89" fillId="0" borderId="1" xfId="0" applyFont="1" applyBorder="1" applyAlignment="1">
      <alignment horizontal="center" vertical="center"/>
    </xf>
    <xf numFmtId="0" fontId="89" fillId="0" borderId="17" xfId="0" applyFont="1" applyBorder="1" applyAlignment="1">
      <alignment horizontal="center" vertical="center"/>
    </xf>
    <xf numFmtId="0" fontId="89" fillId="0" borderId="18" xfId="0" applyFont="1" applyBorder="1" applyAlignment="1">
      <alignment horizontal="center" vertical="center"/>
    </xf>
    <xf numFmtId="0" fontId="89" fillId="0" borderId="19" xfId="0" applyFont="1" applyBorder="1" applyAlignment="1">
      <alignment horizontal="center" vertical="center"/>
    </xf>
    <xf numFmtId="0" fontId="89" fillId="0" borderId="20" xfId="0" applyFont="1" applyBorder="1" applyAlignment="1">
      <alignment horizontal="center" vertical="center"/>
    </xf>
    <xf numFmtId="0" fontId="95" fillId="0" borderId="0" xfId="0" applyFont="1" applyAlignment="1">
      <alignment vertical="center"/>
    </xf>
    <xf numFmtId="0" fontId="0" fillId="2" borderId="4" xfId="0" applyFill="1" applyBorder="1" applyAlignment="1">
      <alignment horizontal="center" vertical="center"/>
    </xf>
    <xf numFmtId="171" fontId="5" fillId="14" borderId="39" xfId="2" applyNumberFormat="1" applyFont="1" applyFill="1" applyBorder="1" applyAlignment="1">
      <alignment vertical="center"/>
    </xf>
    <xf numFmtId="0" fontId="5" fillId="14" borderId="41" xfId="0" applyFont="1" applyFill="1" applyBorder="1" applyAlignment="1">
      <alignment vertical="center"/>
    </xf>
    <xf numFmtId="171" fontId="13" fillId="0" borderId="1" xfId="2" applyNumberFormat="1" applyFont="1" applyFill="1" applyBorder="1" applyAlignment="1">
      <alignment horizontal="center" vertical="center"/>
    </xf>
    <xf numFmtId="0" fontId="0" fillId="2" borderId="3" xfId="0" applyFill="1" applyBorder="1" applyAlignment="1">
      <alignment vertical="center"/>
    </xf>
    <xf numFmtId="0" fontId="0" fillId="2" borderId="2" xfId="0" applyFill="1" applyBorder="1" applyAlignment="1">
      <alignment vertical="center"/>
    </xf>
    <xf numFmtId="171" fontId="13" fillId="6" borderId="1" xfId="2" applyNumberFormat="1" applyFont="1" applyFill="1" applyBorder="1" applyAlignment="1">
      <alignment horizontal="center" vertical="center"/>
    </xf>
    <xf numFmtId="0" fontId="13" fillId="6" borderId="1" xfId="0" applyFont="1" applyFill="1" applyBorder="1" applyAlignment="1">
      <alignment horizontal="center" vertical="center"/>
    </xf>
    <xf numFmtId="171" fontId="13" fillId="0" borderId="1" xfId="2" applyNumberFormat="1" applyFont="1" applyBorder="1" applyAlignment="1">
      <alignment horizontal="center" vertical="center"/>
    </xf>
    <xf numFmtId="0" fontId="0" fillId="10" borderId="1" xfId="0" applyFill="1" applyBorder="1" applyAlignment="1">
      <alignment vertical="center"/>
    </xf>
    <xf numFmtId="3" fontId="13" fillId="0" borderId="4" xfId="0" applyNumberFormat="1" applyFont="1" applyBorder="1" applyAlignment="1">
      <alignmen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171" fontId="0" fillId="0" borderId="0" xfId="2" applyNumberFormat="1" applyFont="1" applyAlignment="1">
      <alignment horizontal="center" vertical="center"/>
    </xf>
    <xf numFmtId="3" fontId="0" fillId="0" borderId="6" xfId="0" applyNumberFormat="1" applyBorder="1" applyAlignment="1">
      <alignment vertical="center"/>
    </xf>
    <xf numFmtId="0" fontId="5" fillId="0" borderId="12" xfId="0" applyFont="1" applyBorder="1" applyAlignment="1">
      <alignment horizontal="center" vertical="center"/>
    </xf>
    <xf numFmtId="4" fontId="5" fillId="15" borderId="39" xfId="0" applyNumberFormat="1" applyFont="1" applyFill="1" applyBorder="1" applyAlignment="1">
      <alignment vertical="center"/>
    </xf>
    <xf numFmtId="0" fontId="5" fillId="15" borderId="41" xfId="0" applyFont="1" applyFill="1" applyBorder="1" applyAlignment="1">
      <alignment vertical="center"/>
    </xf>
    <xf numFmtId="171" fontId="13" fillId="0" borderId="1" xfId="0" applyNumberFormat="1" applyFont="1" applyBorder="1" applyAlignment="1">
      <alignment horizontal="center" vertical="center"/>
    </xf>
    <xf numFmtId="171" fontId="0" fillId="0" borderId="1" xfId="2" applyNumberFormat="1" applyFont="1" applyBorder="1" applyAlignment="1">
      <alignment horizontal="center" vertical="center"/>
    </xf>
    <xf numFmtId="0" fontId="5" fillId="0" borderId="5" xfId="0" applyFont="1" applyBorder="1" applyAlignment="1">
      <alignment vertical="center"/>
    </xf>
    <xf numFmtId="3" fontId="24" fillId="11" borderId="1" xfId="0" applyNumberFormat="1" applyFont="1" applyFill="1" applyBorder="1" applyAlignment="1">
      <alignment vertical="center"/>
    </xf>
    <xf numFmtId="0" fontId="5" fillId="2" borderId="3" xfId="0" applyFont="1" applyFill="1" applyBorder="1" applyAlignment="1">
      <alignment horizontal="center" vertical="center"/>
    </xf>
    <xf numFmtId="0" fontId="0" fillId="2" borderId="7" xfId="0" applyFill="1" applyBorder="1" applyAlignment="1">
      <alignment vertical="center"/>
    </xf>
    <xf numFmtId="0" fontId="5" fillId="2" borderId="2" xfId="0" applyFont="1" applyFill="1" applyBorder="1" applyAlignment="1">
      <alignment horizontal="center" vertical="center"/>
    </xf>
    <xf numFmtId="0" fontId="5" fillId="0" borderId="4" xfId="0" applyFont="1" applyBorder="1" applyAlignment="1">
      <alignment horizontal="center" vertical="center" wrapText="1"/>
    </xf>
    <xf numFmtId="0" fontId="5" fillId="2" borderId="1" xfId="0" applyFont="1" applyFill="1" applyBorder="1" applyAlignment="1">
      <alignment vertical="center"/>
    </xf>
    <xf numFmtId="10" fontId="13" fillId="2" borderId="2" xfId="0" applyNumberFormat="1" applyFont="1" applyFill="1" applyBorder="1" applyAlignment="1">
      <alignment horizontal="center" vertical="center"/>
    </xf>
    <xf numFmtId="171" fontId="13" fillId="0" borderId="2" xfId="0" applyNumberFormat="1" applyFont="1" applyBorder="1" applyAlignment="1">
      <alignment horizontal="center" vertical="center"/>
    </xf>
    <xf numFmtId="0" fontId="0" fillId="2" borderId="4" xfId="0" applyFill="1" applyBorder="1" applyAlignment="1">
      <alignment vertical="center"/>
    </xf>
    <xf numFmtId="171" fontId="0" fillId="2" borderId="4" xfId="2" applyNumberFormat="1" applyFont="1" applyFill="1" applyBorder="1" applyAlignment="1">
      <alignment horizontal="center" vertical="center"/>
    </xf>
    <xf numFmtId="171" fontId="5" fillId="14" borderId="95" xfId="0" applyNumberFormat="1" applyFont="1" applyFill="1" applyBorder="1" applyAlignment="1">
      <alignment horizontal="center" vertical="center"/>
    </xf>
    <xf numFmtId="165" fontId="5" fillId="11" borderId="66" xfId="0" applyNumberFormat="1" applyFont="1" applyFill="1" applyBorder="1" applyAlignment="1">
      <alignment horizontal="center" vertical="center"/>
    </xf>
    <xf numFmtId="0" fontId="5" fillId="0" borderId="22" xfId="0" applyFont="1" applyBorder="1" applyAlignment="1">
      <alignment vertical="center"/>
    </xf>
    <xf numFmtId="171" fontId="5" fillId="14" borderId="91" xfId="0" applyNumberFormat="1" applyFont="1" applyFill="1" applyBorder="1" applyAlignment="1">
      <alignment horizontal="center" vertical="center"/>
    </xf>
    <xf numFmtId="2" fontId="5" fillId="11" borderId="69" xfId="0" applyNumberFormat="1" applyFont="1" applyFill="1" applyBorder="1" applyAlignment="1">
      <alignment horizontal="center" vertical="center"/>
    </xf>
    <xf numFmtId="0" fontId="5" fillId="0" borderId="21" xfId="0" applyFont="1" applyBorder="1" applyAlignment="1">
      <alignment vertical="center"/>
    </xf>
    <xf numFmtId="0" fontId="5" fillId="14" borderId="88" xfId="0" applyFont="1" applyFill="1" applyBorder="1" applyAlignment="1">
      <alignment horizontal="center" vertical="center" wrapText="1"/>
    </xf>
    <xf numFmtId="0" fontId="5" fillId="11" borderId="87" xfId="0" applyFont="1" applyFill="1" applyBorder="1" applyAlignment="1">
      <alignment horizontal="center" vertical="center" wrapText="1"/>
    </xf>
    <xf numFmtId="0" fontId="5" fillId="0" borderId="88" xfId="0" applyFont="1" applyBorder="1" applyAlignment="1">
      <alignment horizontal="center" vertical="center"/>
    </xf>
    <xf numFmtId="0" fontId="96" fillId="0" borderId="0" xfId="0" applyFont="1" applyAlignment="1">
      <alignment vertical="center"/>
    </xf>
    <xf numFmtId="0" fontId="21" fillId="8" borderId="58" xfId="0" applyFont="1" applyFill="1" applyBorder="1" applyAlignment="1">
      <alignment horizontal="center" vertical="center" wrapText="1"/>
    </xf>
    <xf numFmtId="0" fontId="21" fillId="8" borderId="11" xfId="0" applyFont="1" applyFill="1" applyBorder="1" applyAlignment="1">
      <alignment horizontal="center" vertical="center" wrapText="1"/>
    </xf>
    <xf numFmtId="0" fontId="21" fillId="8" borderId="9" xfId="0" applyFont="1" applyFill="1" applyBorder="1" applyAlignment="1">
      <alignment horizontal="center" vertical="center" wrapText="1"/>
    </xf>
    <xf numFmtId="0" fontId="18" fillId="2" borderId="6" xfId="0" applyFont="1" applyFill="1" applyBorder="1" applyAlignment="1">
      <alignment horizontal="center" vertical="center"/>
    </xf>
    <xf numFmtId="0" fontId="18" fillId="2" borderId="5"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3" xfId="0" applyFont="1" applyFill="1" applyBorder="1" applyAlignment="1">
      <alignment horizontal="center" vertical="center" wrapText="1"/>
    </xf>
    <xf numFmtId="0" fontId="18" fillId="2" borderId="32"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7" fillId="0" borderId="1" xfId="0" applyFont="1" applyBorder="1" applyAlignment="1">
      <alignment horizontal="center" vertical="center" wrapText="1"/>
    </xf>
    <xf numFmtId="0" fontId="18" fillId="2" borderId="7"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31" xfId="0" applyFont="1" applyFill="1" applyBorder="1" applyAlignment="1">
      <alignment horizontal="center" vertical="center" wrapText="1"/>
    </xf>
    <xf numFmtId="0" fontId="18" fillId="2" borderId="59"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8" fillId="2" borderId="47" xfId="0" applyFont="1" applyFill="1" applyBorder="1" applyAlignment="1">
      <alignment horizontal="center" vertical="center" wrapText="1"/>
    </xf>
    <xf numFmtId="0" fontId="18" fillId="2" borderId="46" xfId="0" applyFont="1" applyFill="1" applyBorder="1" applyAlignment="1">
      <alignment horizontal="center" vertical="center" wrapText="1"/>
    </xf>
    <xf numFmtId="0" fontId="18" fillId="0" borderId="0" xfId="0" applyFont="1" applyAlignment="1">
      <alignment horizontal="left" vertical="center"/>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xf>
    <xf numFmtId="0" fontId="18" fillId="2" borderId="64" xfId="0" applyFont="1" applyFill="1" applyBorder="1" applyAlignment="1">
      <alignment horizontal="center" vertical="center"/>
    </xf>
    <xf numFmtId="0" fontId="18" fillId="2" borderId="11" xfId="0" applyFont="1" applyFill="1" applyBorder="1" applyAlignment="1">
      <alignment horizontal="center" vertical="center"/>
    </xf>
    <xf numFmtId="0" fontId="18" fillId="2" borderId="59" xfId="0" applyFont="1" applyFill="1" applyBorder="1" applyAlignment="1">
      <alignment horizontal="center" vertical="center"/>
    </xf>
    <xf numFmtId="0" fontId="18" fillId="2" borderId="12" xfId="0" applyFont="1" applyFill="1" applyBorder="1" applyAlignment="1">
      <alignment horizontal="center" vertical="center"/>
    </xf>
    <xf numFmtId="4" fontId="18" fillId="2" borderId="1" xfId="0" applyNumberFormat="1" applyFont="1" applyFill="1" applyBorder="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7" xfId="0" applyFont="1" applyFill="1" applyBorder="1" applyAlignment="1">
      <alignment horizontal="center" vertical="center"/>
    </xf>
    <xf numFmtId="0" fontId="18" fillId="2" borderId="9"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49" fillId="2" borderId="3"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46"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31" xfId="0" applyFont="1" applyFill="1" applyBorder="1" applyAlignment="1">
      <alignment horizontal="center" vertical="center" wrapText="1"/>
    </xf>
    <xf numFmtId="0" fontId="22" fillId="0" borderId="76" xfId="0" applyFont="1" applyBorder="1" applyAlignment="1">
      <alignment horizontal="center" vertical="center" wrapText="1"/>
    </xf>
    <xf numFmtId="0" fontId="22" fillId="0" borderId="87" xfId="0" applyFont="1" applyBorder="1" applyAlignment="1">
      <alignment horizontal="center" vertical="center" wrapText="1"/>
    </xf>
    <xf numFmtId="0" fontId="22" fillId="0" borderId="75" xfId="0" applyFont="1" applyBorder="1" applyAlignment="1">
      <alignment horizontal="center" vertical="center" wrapText="1"/>
    </xf>
    <xf numFmtId="0" fontId="21" fillId="0" borderId="76" xfId="0" applyFont="1" applyBorder="1" applyAlignment="1">
      <alignment horizontal="center" vertical="center" wrapText="1"/>
    </xf>
    <xf numFmtId="0" fontId="21" fillId="0" borderId="87" xfId="0" applyFont="1" applyBorder="1" applyAlignment="1">
      <alignment horizontal="center" vertical="center" wrapText="1"/>
    </xf>
    <xf numFmtId="0" fontId="21" fillId="0" borderId="75" xfId="0" applyFont="1" applyBorder="1" applyAlignment="1">
      <alignment horizontal="center" vertical="center" wrapText="1"/>
    </xf>
    <xf numFmtId="0" fontId="22" fillId="0" borderId="89" xfId="0" applyFont="1" applyBorder="1" applyAlignment="1">
      <alignment horizontal="center" vertical="center" wrapText="1"/>
    </xf>
    <xf numFmtId="0" fontId="22" fillId="0" borderId="73" xfId="0" applyFont="1" applyBorder="1" applyAlignment="1">
      <alignment horizontal="center" vertical="center" wrapText="1"/>
    </xf>
    <xf numFmtId="0" fontId="22" fillId="0" borderId="86" xfId="0" applyFont="1" applyBorder="1" applyAlignment="1">
      <alignment horizontal="center" vertical="center" wrapText="1"/>
    </xf>
    <xf numFmtId="0" fontId="22" fillId="0" borderId="52" xfId="0" applyFont="1" applyBorder="1" applyAlignment="1">
      <alignment horizontal="center" vertical="center" wrapText="1"/>
    </xf>
    <xf numFmtId="0" fontId="21" fillId="0" borderId="83" xfId="0" applyFont="1" applyBorder="1" applyAlignment="1">
      <alignment horizontal="center" vertical="center" wrapText="1"/>
    </xf>
    <xf numFmtId="0" fontId="21" fillId="0" borderId="78" xfId="0" applyFont="1" applyBorder="1" applyAlignment="1">
      <alignment horizontal="center" vertical="center" wrapText="1"/>
    </xf>
    <xf numFmtId="0" fontId="21" fillId="6" borderId="76" xfId="0" applyFont="1" applyFill="1" applyBorder="1" applyAlignment="1">
      <alignment horizontal="center" vertical="center" wrapText="1"/>
    </xf>
    <xf numFmtId="0" fontId="21" fillId="6" borderId="87" xfId="0" applyFont="1" applyFill="1" applyBorder="1" applyAlignment="1">
      <alignment horizontal="center" vertical="center" wrapText="1"/>
    </xf>
    <xf numFmtId="0" fontId="21" fillId="6" borderId="75" xfId="0" applyFont="1" applyFill="1" applyBorder="1" applyAlignment="1">
      <alignment horizontal="center" vertical="center" wrapText="1"/>
    </xf>
    <xf numFmtId="3" fontId="22" fillId="0" borderId="76" xfId="0" applyNumberFormat="1" applyFont="1" applyBorder="1" applyAlignment="1">
      <alignment horizontal="center" vertical="center" wrapText="1"/>
    </xf>
    <xf numFmtId="3" fontId="22" fillId="0" borderId="87" xfId="0" applyNumberFormat="1" applyFont="1" applyBorder="1" applyAlignment="1">
      <alignment horizontal="center" vertical="center" wrapText="1"/>
    </xf>
    <xf numFmtId="3" fontId="22" fillId="0" borderId="75" xfId="0" applyNumberFormat="1" applyFont="1" applyBorder="1" applyAlignment="1">
      <alignment horizontal="center" vertical="center" wrapText="1"/>
    </xf>
    <xf numFmtId="0" fontId="55" fillId="8" borderId="23" xfId="0" applyFont="1" applyFill="1" applyBorder="1" applyAlignment="1">
      <alignment horizontal="center" vertical="center" wrapText="1"/>
    </xf>
    <xf numFmtId="0" fontId="21" fillId="8" borderId="25" xfId="0" applyFont="1" applyFill="1" applyBorder="1" applyAlignment="1">
      <alignment horizontal="center" vertical="center" wrapText="1"/>
    </xf>
    <xf numFmtId="0" fontId="60" fillId="0" borderId="64" xfId="0" applyFont="1" applyBorder="1" applyAlignment="1">
      <alignment horizontal="center" vertical="center" wrapText="1"/>
    </xf>
    <xf numFmtId="0" fontId="1" fillId="0" borderId="0" xfId="0" applyFont="1" applyAlignment="1">
      <alignment horizontal="center" vertical="center" wrapText="1"/>
    </xf>
    <xf numFmtId="0" fontId="26" fillId="8" borderId="83" xfId="0" applyFont="1" applyFill="1" applyBorder="1" applyAlignment="1">
      <alignment horizontal="center" vertical="center" wrapText="1"/>
    </xf>
    <xf numFmtId="0" fontId="26" fillId="8" borderId="79" xfId="0" applyFont="1" applyFill="1" applyBorder="1" applyAlignment="1">
      <alignment horizontal="center" vertical="center" wrapText="1"/>
    </xf>
    <xf numFmtId="0" fontId="26" fillId="8" borderId="78" xfId="0" applyFont="1" applyFill="1" applyBorder="1" applyAlignment="1">
      <alignment horizontal="center" vertical="center" wrapText="1"/>
    </xf>
    <xf numFmtId="0" fontId="26" fillId="8" borderId="86" xfId="0" applyFont="1" applyFill="1" applyBorder="1" applyAlignment="1">
      <alignment horizontal="center" vertical="center" wrapText="1"/>
    </xf>
    <xf numFmtId="0" fontId="26" fillId="8" borderId="77" xfId="0" applyFont="1" applyFill="1" applyBorder="1" applyAlignment="1">
      <alignment horizontal="center" vertical="center" wrapText="1"/>
    </xf>
    <xf numFmtId="0" fontId="26" fillId="8" borderId="52" xfId="0" applyFont="1" applyFill="1" applyBorder="1" applyAlignment="1">
      <alignment horizontal="center" vertical="center" wrapText="1"/>
    </xf>
    <xf numFmtId="0" fontId="26" fillId="8" borderId="76" xfId="0" applyFont="1" applyFill="1" applyBorder="1" applyAlignment="1">
      <alignment horizontal="center" vertical="center" wrapText="1"/>
    </xf>
    <xf numFmtId="0" fontId="26" fillId="8" borderId="75" xfId="0" applyFont="1" applyFill="1" applyBorder="1" applyAlignment="1">
      <alignment horizontal="center" vertical="center" wrapText="1"/>
    </xf>
    <xf numFmtId="0" fontId="2" fillId="0" borderId="1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5" fillId="11" borderId="22" xfId="0" applyFont="1" applyFill="1" applyBorder="1" applyAlignment="1">
      <alignment horizontal="center" vertical="center"/>
    </xf>
    <xf numFmtId="0" fontId="5" fillId="11" borderId="66" xfId="0" applyFont="1" applyFill="1" applyBorder="1" applyAlignment="1">
      <alignment horizontal="center" vertical="center"/>
    </xf>
    <xf numFmtId="0" fontId="5" fillId="11" borderId="65" xfId="0" applyFont="1" applyFill="1" applyBorder="1" applyAlignment="1">
      <alignment horizontal="center" vertical="center"/>
    </xf>
    <xf numFmtId="13" fontId="5" fillId="7" borderId="21" xfId="0" applyNumberFormat="1" applyFont="1" applyFill="1" applyBorder="1" applyAlignment="1">
      <alignment horizontal="center" vertical="center"/>
    </xf>
    <xf numFmtId="0" fontId="5" fillId="7" borderId="69" xfId="0" applyFont="1" applyFill="1" applyBorder="1" applyAlignment="1">
      <alignment horizontal="center" vertical="center"/>
    </xf>
    <xf numFmtId="0" fontId="5" fillId="7" borderId="68" xfId="0" applyFont="1" applyFill="1" applyBorder="1" applyAlignment="1">
      <alignment horizontal="center" vertical="center"/>
    </xf>
    <xf numFmtId="13" fontId="5" fillId="11" borderId="22" xfId="0" applyNumberFormat="1" applyFont="1" applyFill="1" applyBorder="1" applyAlignment="1">
      <alignment horizontal="center" vertical="center"/>
    </xf>
    <xf numFmtId="0" fontId="26" fillId="8" borderId="87" xfId="0" applyFont="1" applyFill="1" applyBorder="1" applyAlignment="1">
      <alignment horizontal="center" vertical="center" wrapText="1"/>
    </xf>
    <xf numFmtId="0" fontId="22" fillId="0" borderId="83" xfId="0" applyFont="1" applyBorder="1" applyAlignment="1">
      <alignment horizontal="center" vertical="center" wrapText="1"/>
    </xf>
    <xf numFmtId="0" fontId="22" fillId="0" borderId="78" xfId="0" applyFont="1" applyBorder="1" applyAlignment="1">
      <alignment horizontal="center" vertical="center" wrapText="1"/>
    </xf>
    <xf numFmtId="0" fontId="21" fillId="8" borderId="2" xfId="0" applyFont="1" applyFill="1" applyBorder="1" applyAlignment="1">
      <alignment horizontal="left" vertical="center" wrapText="1"/>
    </xf>
    <xf numFmtId="0" fontId="5" fillId="7" borderId="21" xfId="0" applyFont="1" applyFill="1" applyBorder="1" applyAlignment="1">
      <alignment horizontal="center" vertical="center"/>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67" xfId="0" applyFont="1" applyBorder="1" applyAlignment="1">
      <alignment horizontal="center" vertical="center" wrapText="1"/>
    </xf>
    <xf numFmtId="0" fontId="5" fillId="0" borderId="1" xfId="0" applyFont="1" applyBorder="1" applyAlignment="1">
      <alignment horizontal="center" vertical="center"/>
    </xf>
    <xf numFmtId="0" fontId="78" fillId="0" borderId="80" xfId="0" applyFont="1" applyBorder="1" applyAlignment="1">
      <alignment horizontal="center" vertical="center"/>
    </xf>
    <xf numFmtId="0" fontId="78" fillId="0" borderId="85" xfId="0" applyFont="1" applyBorder="1" applyAlignment="1">
      <alignment horizontal="center" vertical="center"/>
    </xf>
    <xf numFmtId="0" fontId="78" fillId="0" borderId="26" xfId="0" applyFont="1" applyBorder="1" applyAlignment="1">
      <alignment horizontal="center" vertical="center"/>
    </xf>
    <xf numFmtId="0" fontId="65" fillId="0" borderId="6" xfId="0" applyFont="1" applyBorder="1" applyAlignment="1">
      <alignment horizontal="center" vertical="center"/>
    </xf>
    <xf numFmtId="0" fontId="65" fillId="0" borderId="4" xfId="0" applyFont="1" applyBorder="1" applyAlignment="1">
      <alignment horizontal="center" vertical="center"/>
    </xf>
    <xf numFmtId="0" fontId="71" fillId="0" borderId="6" xfId="0" applyFont="1" applyBorder="1" applyAlignment="1">
      <alignment horizontal="center" vertical="center"/>
    </xf>
    <xf numFmtId="0" fontId="71" fillId="0" borderId="4" xfId="0" applyFont="1" applyBorder="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5" xfId="0" applyFill="1" applyBorder="1" applyAlignment="1">
      <alignment horizontal="center" vertical="center" wrapText="1"/>
    </xf>
    <xf numFmtId="0" fontId="0" fillId="2" borderId="4" xfId="0" applyFill="1" applyBorder="1" applyAlignment="1">
      <alignment horizontal="center" vertical="center" wrapText="1"/>
    </xf>
    <xf numFmtId="168" fontId="5" fillId="2" borderId="2" xfId="0" applyNumberFormat="1" applyFont="1" applyFill="1" applyBorder="1" applyAlignment="1">
      <alignment horizontal="center" vertical="center" wrapText="1"/>
    </xf>
    <xf numFmtId="168" fontId="5" fillId="2" borderId="7" xfId="0" applyNumberFormat="1" applyFont="1" applyFill="1" applyBorder="1" applyAlignment="1">
      <alignment horizontal="center" vertical="center" wrapText="1"/>
    </xf>
    <xf numFmtId="168" fontId="5" fillId="2" borderId="3"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xf>
    <xf numFmtId="0" fontId="5" fillId="0" borderId="0" xfId="0" applyFont="1" applyAlignment="1">
      <alignment horizontal="center" vertical="center"/>
    </xf>
    <xf numFmtId="0" fontId="0" fillId="2" borderId="6" xfId="0" applyFill="1" applyBorder="1" applyAlignment="1">
      <alignment horizontal="center" vertical="center"/>
    </xf>
    <xf numFmtId="0" fontId="0" fillId="2" borderId="5" xfId="0" applyFill="1" applyBorder="1" applyAlignment="1">
      <alignment horizontal="center" vertical="center"/>
    </xf>
    <xf numFmtId="0" fontId="0" fillId="2" borderId="4" xfId="0" applyFill="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8" fillId="2" borderId="1" xfId="0" applyFont="1" applyFill="1" applyBorder="1" applyAlignment="1">
      <alignment horizontal="center" wrapText="1"/>
    </xf>
    <xf numFmtId="0" fontId="18" fillId="2" borderId="1" xfId="0" applyFont="1" applyFill="1" applyBorder="1" applyAlignment="1">
      <alignment horizontal="center"/>
    </xf>
    <xf numFmtId="0" fontId="0" fillId="0" borderId="1" xfId="0" applyBorder="1" applyAlignment="1">
      <alignment horizontal="center" vertical="center"/>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xf>
    <xf numFmtId="0" fontId="8" fillId="0" borderId="1" xfId="0" applyFont="1" applyBorder="1" applyAlignment="1">
      <alignment horizontal="center" vertical="center"/>
    </xf>
    <xf numFmtId="0" fontId="8" fillId="0" borderId="6" xfId="0" applyFont="1" applyBorder="1" applyAlignment="1">
      <alignment horizontal="center" vertical="center"/>
    </xf>
    <xf numFmtId="0" fontId="8" fillId="0" borderId="4" xfId="0" applyFont="1" applyBorder="1" applyAlignment="1">
      <alignment horizontal="center" vertical="center"/>
    </xf>
    <xf numFmtId="0" fontId="2" fillId="2" borderId="2"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 fillId="2" borderId="50" xfId="0" applyFont="1" applyFill="1" applyBorder="1" applyAlignment="1">
      <alignment horizontal="center" vertical="center"/>
    </xf>
    <xf numFmtId="0" fontId="1" fillId="2" borderId="1" xfId="0" applyFont="1" applyFill="1" applyBorder="1" applyAlignment="1">
      <alignment horizontal="center" vertical="center"/>
    </xf>
    <xf numFmtId="0" fontId="25" fillId="0" borderId="3" xfId="0" applyFont="1" applyBorder="1" applyAlignment="1">
      <alignment horizontal="center" vertical="center" wrapText="1"/>
    </xf>
    <xf numFmtId="0" fontId="26" fillId="8" borderId="1" xfId="0" applyFont="1" applyFill="1" applyBorder="1" applyAlignment="1">
      <alignment horizontal="center" vertical="center" wrapText="1"/>
    </xf>
    <xf numFmtId="4" fontId="25" fillId="0" borderId="1" xfId="0" applyNumberFormat="1" applyFont="1" applyBorder="1" applyAlignment="1">
      <alignment horizontal="center" vertical="center" wrapText="1"/>
    </xf>
    <xf numFmtId="3" fontId="25" fillId="0" borderId="1" xfId="0" applyNumberFormat="1" applyFont="1" applyBorder="1" applyAlignment="1">
      <alignment horizontal="center" vertical="center" wrapText="1"/>
    </xf>
    <xf numFmtId="0" fontId="25" fillId="0" borderId="12" xfId="0" applyFont="1" applyBorder="1" applyAlignment="1">
      <alignment horizontal="center" vertical="center" wrapText="1"/>
    </xf>
    <xf numFmtId="4" fontId="25" fillId="0" borderId="4" xfId="0" applyNumberFormat="1" applyFont="1" applyBorder="1" applyAlignment="1">
      <alignment horizontal="center" vertical="center" wrapText="1"/>
    </xf>
    <xf numFmtId="0" fontId="25" fillId="0" borderId="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6" xfId="0" applyFont="1" applyBorder="1" applyAlignment="1">
      <alignment horizontal="center" vertical="center" wrapText="1"/>
    </xf>
    <xf numFmtId="4" fontId="25" fillId="0" borderId="6" xfId="0" applyNumberFormat="1" applyFont="1" applyBorder="1" applyAlignment="1">
      <alignment horizontal="center" vertical="center" wrapText="1"/>
    </xf>
    <xf numFmtId="3" fontId="25" fillId="0" borderId="6" xfId="0" applyNumberFormat="1" applyFont="1" applyBorder="1" applyAlignment="1">
      <alignment horizontal="center" vertical="center" wrapText="1"/>
    </xf>
    <xf numFmtId="3" fontId="25" fillId="0" borderId="4" xfId="0" applyNumberFormat="1" applyFont="1" applyBorder="1" applyAlignment="1">
      <alignment horizontal="center" vertical="center" wrapText="1"/>
    </xf>
    <xf numFmtId="0" fontId="27" fillId="0" borderId="6" xfId="0" applyFont="1" applyBorder="1" applyAlignment="1">
      <alignment horizontal="center" vertical="center" wrapText="1"/>
    </xf>
    <xf numFmtId="0" fontId="27" fillId="0" borderId="4" xfId="0" applyFont="1" applyBorder="1" applyAlignment="1">
      <alignment horizontal="center" vertical="center" wrapText="1"/>
    </xf>
    <xf numFmtId="0" fontId="26" fillId="8" borderId="44" xfId="0" applyFont="1" applyFill="1" applyBorder="1" applyAlignment="1">
      <alignment horizontal="center" vertical="center" wrapText="1"/>
    </xf>
    <xf numFmtId="0" fontId="26" fillId="8" borderId="4" xfId="0" applyFont="1" applyFill="1" applyBorder="1" applyAlignment="1">
      <alignment horizontal="center" vertical="center" wrapText="1"/>
    </xf>
    <xf numFmtId="0" fontId="26" fillId="8" borderId="6" xfId="0" applyFont="1" applyFill="1" applyBorder="1" applyAlignment="1">
      <alignment horizontal="center" vertical="center" wrapText="1"/>
    </xf>
    <xf numFmtId="0" fontId="31" fillId="0" borderId="1" xfId="0" applyFont="1" applyBorder="1" applyAlignment="1">
      <alignment horizontal="center" vertical="center" wrapText="1"/>
    </xf>
    <xf numFmtId="3" fontId="13" fillId="0" borderId="14" xfId="0" applyNumberFormat="1" applyFont="1" applyBorder="1" applyAlignment="1">
      <alignment horizontal="center" vertical="center"/>
    </xf>
    <xf numFmtId="3" fontId="13" fillId="0" borderId="1" xfId="0" applyNumberFormat="1" applyFont="1" applyBorder="1" applyAlignment="1">
      <alignment horizontal="center" vertical="center"/>
    </xf>
    <xf numFmtId="3" fontId="13" fillId="0" borderId="19" xfId="0" applyNumberFormat="1" applyFont="1" applyBorder="1" applyAlignment="1">
      <alignment horizontal="center" vertical="center"/>
    </xf>
    <xf numFmtId="0" fontId="13" fillId="0" borderId="13" xfId="0" applyFont="1" applyBorder="1" applyAlignment="1">
      <alignment horizontal="center" vertical="center"/>
    </xf>
    <xf numFmtId="0" fontId="13" fillId="0" borderId="16" xfId="0" applyFont="1" applyBorder="1" applyAlignment="1">
      <alignment horizontal="center" vertical="center"/>
    </xf>
    <xf numFmtId="0" fontId="13" fillId="0" borderId="18" xfId="0" applyFont="1" applyBorder="1" applyAlignment="1">
      <alignment horizontal="center" vertical="center"/>
    </xf>
    <xf numFmtId="3" fontId="13" fillId="0" borderId="38" xfId="0" applyNumberFormat="1" applyFont="1" applyBorder="1" applyAlignment="1">
      <alignment horizontal="center" vertical="center"/>
    </xf>
    <xf numFmtId="3" fontId="13" fillId="0" borderId="36" xfId="0" applyNumberFormat="1" applyFont="1" applyBorder="1" applyAlignment="1">
      <alignment horizontal="center" vertical="center"/>
    </xf>
    <xf numFmtId="3" fontId="13" fillId="0" borderId="35" xfId="0" applyNumberFormat="1" applyFont="1" applyBorder="1" applyAlignment="1">
      <alignment horizontal="center" vertical="center"/>
    </xf>
    <xf numFmtId="3" fontId="13" fillId="0" borderId="24" xfId="0" applyNumberFormat="1" applyFont="1" applyBorder="1" applyAlignment="1">
      <alignment horizontal="center" vertical="center"/>
    </xf>
    <xf numFmtId="3" fontId="13" fillId="0" borderId="5" xfId="0" applyNumberFormat="1" applyFont="1" applyBorder="1" applyAlignment="1">
      <alignment horizontal="center" vertical="center"/>
    </xf>
    <xf numFmtId="3" fontId="13" fillId="0" borderId="34" xfId="0" applyNumberFormat="1" applyFont="1" applyBorder="1" applyAlignment="1">
      <alignment horizontal="center" vertical="center"/>
    </xf>
    <xf numFmtId="3" fontId="13" fillId="0" borderId="8" xfId="0" applyNumberFormat="1" applyFont="1" applyBorder="1" applyAlignment="1">
      <alignment horizontal="center" vertical="center"/>
    </xf>
    <xf numFmtId="3" fontId="13" fillId="0" borderId="33" xfId="0" applyNumberFormat="1" applyFont="1" applyBorder="1" applyAlignment="1">
      <alignment horizontal="center" vertical="center"/>
    </xf>
    <xf numFmtId="0" fontId="84" fillId="0" borderId="9" xfId="0" applyFont="1" applyBorder="1" applyAlignment="1">
      <alignment horizontal="left" vertical="center" wrapText="1"/>
    </xf>
    <xf numFmtId="0" fontId="84" fillId="0" borderId="11" xfId="0" applyFont="1" applyBorder="1" applyAlignment="1">
      <alignment horizontal="left" vertical="center" wrapText="1"/>
    </xf>
    <xf numFmtId="0" fontId="84" fillId="0" borderId="8" xfId="0" applyFont="1" applyBorder="1" applyAlignment="1">
      <alignment horizontal="left" vertical="center" wrapText="1"/>
    </xf>
    <xf numFmtId="0" fontId="84" fillId="0" borderId="36" xfId="0" applyFont="1" applyBorder="1" applyAlignment="1">
      <alignment horizontal="left" vertical="center" wrapText="1"/>
    </xf>
    <xf numFmtId="0" fontId="84" fillId="0" borderId="10" xfId="0" applyFont="1" applyBorder="1" applyAlignment="1">
      <alignment horizontal="left" vertical="center" wrapText="1"/>
    </xf>
    <xf numFmtId="0" fontId="84" fillId="0" borderId="12" xfId="0" applyFont="1" applyBorder="1" applyAlignment="1">
      <alignment horizontal="left" vertical="center" wrapText="1"/>
    </xf>
    <xf numFmtId="0" fontId="82" fillId="0" borderId="13" xfId="0" applyFont="1" applyBorder="1" applyAlignment="1">
      <alignment horizontal="center" vertical="center"/>
    </xf>
    <xf numFmtId="0" fontId="82" fillId="0" borderId="14" xfId="0" applyFont="1" applyBorder="1" applyAlignment="1">
      <alignment horizontal="center" vertical="center"/>
    </xf>
    <xf numFmtId="0" fontId="82" fillId="0" borderId="15" xfId="0" applyFont="1" applyBorder="1" applyAlignment="1">
      <alignment horizontal="center" vertical="center"/>
    </xf>
    <xf numFmtId="0" fontId="86" fillId="0" borderId="13" xfId="0" applyFont="1" applyBorder="1" applyAlignment="1">
      <alignment horizontal="center" vertical="center"/>
    </xf>
    <xf numFmtId="0" fontId="86" fillId="0" borderId="16" xfId="0" applyFont="1" applyBorder="1" applyAlignment="1">
      <alignment horizontal="center" vertical="center"/>
    </xf>
    <xf numFmtId="0" fontId="86" fillId="0" borderId="18" xfId="0" applyFont="1" applyBorder="1" applyAlignment="1">
      <alignment horizontal="center" vertical="center"/>
    </xf>
    <xf numFmtId="0" fontId="81" fillId="0" borderId="41" xfId="0" quotePrefix="1" applyFont="1" applyBorder="1" applyAlignment="1">
      <alignment horizontal="center" vertical="center"/>
    </xf>
    <xf numFmtId="0" fontId="81" fillId="0" borderId="40" xfId="0" quotePrefix="1" applyFont="1" applyBorder="1" applyAlignment="1">
      <alignment horizontal="center" vertical="center"/>
    </xf>
    <xf numFmtId="0" fontId="81" fillId="0" borderId="39" xfId="0" quotePrefix="1" applyFont="1" applyBorder="1" applyAlignment="1">
      <alignment horizontal="center" vertical="center"/>
    </xf>
    <xf numFmtId="0" fontId="5" fillId="0" borderId="76" xfId="0" applyFont="1" applyBorder="1" applyAlignment="1">
      <alignment horizontal="center" vertical="center"/>
    </xf>
    <xf numFmtId="0" fontId="5" fillId="0" borderId="75" xfId="0" applyFont="1" applyBorder="1" applyAlignment="1">
      <alignment horizontal="center" vertical="center"/>
    </xf>
    <xf numFmtId="0" fontId="13" fillId="0" borderId="76" xfId="0" applyFont="1" applyBorder="1" applyAlignment="1">
      <alignment horizontal="center" vertical="center"/>
    </xf>
    <xf numFmtId="0" fontId="13" fillId="0" borderId="75" xfId="0" applyFont="1" applyBorder="1" applyAlignment="1">
      <alignment horizontal="center" vertical="center"/>
    </xf>
    <xf numFmtId="0" fontId="79" fillId="0" borderId="83" xfId="0" applyFont="1" applyBorder="1" applyAlignment="1">
      <alignment horizontal="center" vertical="center"/>
    </xf>
    <xf numFmtId="0" fontId="79" fillId="0" borderId="78" xfId="0" applyFont="1" applyBorder="1" applyAlignment="1">
      <alignment horizontal="center" vertical="center"/>
    </xf>
    <xf numFmtId="0" fontId="90" fillId="0" borderId="13" xfId="0" quotePrefix="1" applyFont="1" applyBorder="1" applyAlignment="1">
      <alignment horizontal="center" vertical="center"/>
    </xf>
    <xf numFmtId="0" fontId="90" fillId="0" borderId="14" xfId="0" quotePrefix="1" applyFont="1" applyBorder="1" applyAlignment="1">
      <alignment horizontal="center" vertical="center"/>
    </xf>
    <xf numFmtId="0" fontId="90" fillId="0" borderId="15" xfId="0" quotePrefix="1" applyFont="1" applyBorder="1" applyAlignment="1">
      <alignment horizontal="center" vertical="center"/>
    </xf>
    <xf numFmtId="0" fontId="88" fillId="0" borderId="9" xfId="0" applyFont="1" applyBorder="1" applyAlignment="1">
      <alignment horizontal="left" vertical="center" wrapText="1"/>
    </xf>
    <xf numFmtId="0" fontId="88" fillId="0" borderId="11" xfId="0" applyFont="1" applyBorder="1" applyAlignment="1">
      <alignment horizontal="left" vertical="center" wrapText="1"/>
    </xf>
    <xf numFmtId="0" fontId="88" fillId="0" borderId="8" xfId="0" applyFont="1" applyBorder="1" applyAlignment="1">
      <alignment horizontal="left" vertical="center" wrapText="1"/>
    </xf>
    <xf numFmtId="0" fontId="88" fillId="0" borderId="36" xfId="0" applyFont="1" applyBorder="1" applyAlignment="1">
      <alignment horizontal="left" vertical="center" wrapText="1"/>
    </xf>
    <xf numFmtId="0" fontId="88" fillId="0" borderId="10" xfId="0" applyFont="1" applyBorder="1" applyAlignment="1">
      <alignment horizontal="left" vertical="center" wrapText="1"/>
    </xf>
    <xf numFmtId="0" fontId="88" fillId="0" borderId="12" xfId="0" applyFont="1" applyBorder="1" applyAlignment="1">
      <alignment horizontal="left" vertical="center" wrapText="1"/>
    </xf>
    <xf numFmtId="0" fontId="90" fillId="0" borderId="26" xfId="0" quotePrefix="1" applyFont="1" applyBorder="1" applyAlignment="1">
      <alignment horizontal="center" vertical="center"/>
    </xf>
    <xf numFmtId="0" fontId="90" fillId="0" borderId="4" xfId="0" quotePrefix="1" applyFont="1" applyBorder="1" applyAlignment="1">
      <alignment horizontal="center" vertical="center"/>
    </xf>
    <xf numFmtId="0" fontId="90" fillId="0" borderId="27" xfId="0" quotePrefix="1" applyFont="1" applyBorder="1" applyAlignment="1">
      <alignment horizontal="center" vertical="center"/>
    </xf>
    <xf numFmtId="167" fontId="5" fillId="0" borderId="91" xfId="0" applyNumberFormat="1" applyFont="1" applyBorder="1" applyAlignment="1">
      <alignment horizontal="center" vertical="center"/>
    </xf>
    <xf numFmtId="167" fontId="5" fillId="0" borderId="95" xfId="0" applyNumberFormat="1" applyFont="1" applyBorder="1" applyAlignment="1">
      <alignment horizontal="center" vertical="center"/>
    </xf>
    <xf numFmtId="0" fontId="5" fillId="0" borderId="3" xfId="0" applyFont="1" applyBorder="1" applyAlignment="1">
      <alignment horizontal="center" vertical="center"/>
    </xf>
    <xf numFmtId="0" fontId="5" fillId="15" borderId="76" xfId="0" applyFont="1" applyFill="1" applyBorder="1" applyAlignment="1">
      <alignment horizontal="center" vertical="center"/>
    </xf>
    <xf numFmtId="0" fontId="5" fillId="15" borderId="87" xfId="0" applyFont="1" applyFill="1" applyBorder="1" applyAlignment="1">
      <alignment horizontal="center" vertical="center"/>
    </xf>
    <xf numFmtId="0" fontId="5" fillId="15" borderId="75" xfId="0" applyFont="1" applyFill="1" applyBorder="1" applyAlignment="1">
      <alignment horizontal="center" vertical="center"/>
    </xf>
    <xf numFmtId="0" fontId="5" fillId="15" borderId="1" xfId="0" applyFont="1" applyFill="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14" borderId="2" xfId="0" applyFont="1" applyFill="1" applyBorder="1" applyAlignment="1">
      <alignment horizontal="center" vertical="center"/>
    </xf>
    <xf numFmtId="0" fontId="5" fillId="14" borderId="7" xfId="0" applyFont="1" applyFill="1" applyBorder="1" applyAlignment="1">
      <alignment horizontal="center" vertical="center"/>
    </xf>
    <xf numFmtId="0" fontId="5" fillId="14" borderId="3" xfId="0" applyFont="1" applyFill="1" applyBorder="1" applyAlignment="1">
      <alignment horizontal="center" vertical="center"/>
    </xf>
    <xf numFmtId="0" fontId="5" fillId="14" borderId="76" xfId="0" applyFont="1" applyFill="1" applyBorder="1" applyAlignment="1">
      <alignment horizontal="center" vertical="center"/>
    </xf>
    <xf numFmtId="0" fontId="5" fillId="14" borderId="87" xfId="0" applyFont="1" applyFill="1" applyBorder="1" applyAlignment="1">
      <alignment horizontal="center" vertical="center"/>
    </xf>
    <xf numFmtId="0" fontId="5" fillId="14" borderId="75" xfId="0" applyFont="1" applyFill="1" applyBorder="1" applyAlignment="1">
      <alignment horizontal="center" vertical="center"/>
    </xf>
  </cellXfs>
  <cellStyles count="3">
    <cellStyle name="Hipervínculo" xfId="1" builtinId="8"/>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5g-tools.com/5g-nr-throughput-calculator/" TargetMode="Externa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3" Type="http://schemas.openxmlformats.org/officeDocument/2006/relationships/hyperlink" Target="https://www.youtube.com/watch?v=nl9TZanwbBk" TargetMode="External"/><Relationship Id="rId2" Type="http://schemas.openxmlformats.org/officeDocument/2006/relationships/hyperlink" Target="https://www.youtube.com/watch?v=zqVCqmRQUxo" TargetMode="External"/><Relationship Id="rId1" Type="http://schemas.openxmlformats.org/officeDocument/2006/relationships/hyperlink" Target="https://www.youtube.com/watch?v=QmgJmh2I3Fw"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D772B-2AED-4F72-929A-C03E291C98D1}">
  <dimension ref="A1:V88"/>
  <sheetViews>
    <sheetView topLeftCell="H1" workbookViewId="0">
      <selection activeCell="R12" sqref="R12"/>
    </sheetView>
  </sheetViews>
  <sheetFormatPr baseColWidth="10" defaultColWidth="11.42578125" defaultRowHeight="12.75" x14ac:dyDescent="0.25"/>
  <cols>
    <col min="1" max="1" width="11.85546875" style="161" customWidth="1"/>
    <col min="2" max="2" width="9.42578125" style="160" customWidth="1"/>
    <col min="3" max="3" width="11.140625" style="160" customWidth="1"/>
    <col min="4" max="5" width="13" style="161" customWidth="1"/>
    <col min="6" max="6" width="15.140625" style="160" customWidth="1"/>
    <col min="7" max="7" width="13" style="160" customWidth="1"/>
    <col min="8" max="8" width="14.7109375" style="160" customWidth="1"/>
    <col min="9" max="9" width="13" style="160" customWidth="1"/>
    <col min="10" max="11" width="13" style="161" customWidth="1"/>
    <col min="12" max="12" width="13.28515625" style="161" customWidth="1"/>
    <col min="13" max="13" width="14.5703125" style="161" customWidth="1"/>
    <col min="14" max="14" width="12.140625" style="161" customWidth="1"/>
    <col min="15" max="15" width="13.85546875" style="161" customWidth="1"/>
    <col min="16" max="16" width="16.28515625" style="161" customWidth="1"/>
    <col min="17" max="17" width="12.28515625" style="161" customWidth="1"/>
    <col min="18" max="18" width="20.5703125" style="161" customWidth="1"/>
    <col min="19" max="16384" width="11.42578125" style="161"/>
  </cols>
  <sheetData>
    <row r="1" spans="1:21" ht="18.75" x14ac:dyDescent="0.25">
      <c r="A1" s="11" t="s">
        <v>302</v>
      </c>
      <c r="C1" s="159"/>
    </row>
    <row r="2" spans="1:21" x14ac:dyDescent="0.25">
      <c r="A2" s="162" t="s">
        <v>10</v>
      </c>
      <c r="E2" s="163" t="s">
        <v>11</v>
      </c>
    </row>
    <row r="4" spans="1:21" x14ac:dyDescent="0.25">
      <c r="A4" s="159" t="s">
        <v>303</v>
      </c>
      <c r="B4" s="161"/>
      <c r="C4" s="161"/>
      <c r="D4" s="160"/>
      <c r="E4" s="160"/>
      <c r="H4" s="161"/>
      <c r="I4" s="161"/>
    </row>
    <row r="5" spans="1:21" ht="28.15" customHeight="1" x14ac:dyDescent="0.25">
      <c r="A5" s="164"/>
      <c r="B5" s="329"/>
      <c r="C5" s="765" t="s">
        <v>87</v>
      </c>
      <c r="D5" s="787"/>
      <c r="E5" s="773" t="s">
        <v>341</v>
      </c>
      <c r="F5" s="787"/>
      <c r="G5" s="787"/>
      <c r="H5" s="787"/>
      <c r="I5" s="773" t="s">
        <v>342</v>
      </c>
      <c r="J5" s="787"/>
      <c r="K5" s="787"/>
      <c r="L5" s="788"/>
      <c r="M5" s="773" t="s">
        <v>348</v>
      </c>
      <c r="N5" s="773"/>
      <c r="O5" s="773"/>
      <c r="P5" s="773"/>
    </row>
    <row r="6" spans="1:21" ht="41.25" customHeight="1" thickBot="1" x14ac:dyDescent="0.3">
      <c r="A6" s="272" t="s">
        <v>71</v>
      </c>
      <c r="B6" s="273" t="s">
        <v>138</v>
      </c>
      <c r="C6" s="273" t="s">
        <v>9</v>
      </c>
      <c r="D6" s="187" t="s">
        <v>6</v>
      </c>
      <c r="E6" s="187" t="str">
        <f t="shared" ref="E6:L6" si="0">I6</f>
        <v>QPSK</v>
      </c>
      <c r="F6" s="187" t="str">
        <f t="shared" si="0"/>
        <v>16 QAM</v>
      </c>
      <c r="G6" s="187" t="str">
        <f t="shared" si="0"/>
        <v>64 QAM</v>
      </c>
      <c r="H6" s="187" t="str">
        <f t="shared" si="0"/>
        <v>256 QAM</v>
      </c>
      <c r="I6" s="187" t="str">
        <f t="shared" si="0"/>
        <v>QPSK</v>
      </c>
      <c r="J6" s="187" t="str">
        <f t="shared" si="0"/>
        <v>16 QAM</v>
      </c>
      <c r="K6" s="187" t="str">
        <f t="shared" si="0"/>
        <v>64 QAM</v>
      </c>
      <c r="L6" s="324" t="str">
        <f t="shared" si="0"/>
        <v>256 QAM</v>
      </c>
      <c r="M6" s="187" t="s">
        <v>4</v>
      </c>
      <c r="N6" s="187" t="s">
        <v>3</v>
      </c>
      <c r="O6" s="187" t="s">
        <v>2</v>
      </c>
      <c r="P6" s="187" t="s">
        <v>1</v>
      </c>
    </row>
    <row r="7" spans="1:21" ht="13.5" thickTop="1" x14ac:dyDescent="0.25">
      <c r="A7" s="327">
        <v>7.5</v>
      </c>
      <c r="B7" s="330">
        <v>7</v>
      </c>
      <c r="C7" s="325">
        <f>1000/7</f>
        <v>142.85714285714286</v>
      </c>
      <c r="D7" s="173">
        <v>1000</v>
      </c>
      <c r="E7" s="173">
        <v>2</v>
      </c>
      <c r="F7" s="173">
        <v>4</v>
      </c>
      <c r="G7" s="173">
        <v>6</v>
      </c>
      <c r="H7" s="173">
        <v>8</v>
      </c>
      <c r="I7" s="173">
        <f t="shared" ref="I7:L8" si="1">E7*$D7/$C7</f>
        <v>14</v>
      </c>
      <c r="J7" s="173">
        <f t="shared" si="1"/>
        <v>28</v>
      </c>
      <c r="K7" s="173">
        <f t="shared" si="1"/>
        <v>42</v>
      </c>
      <c r="L7" s="323">
        <f t="shared" si="1"/>
        <v>56</v>
      </c>
      <c r="M7" s="173">
        <f t="shared" ref="M7:P8" si="2">12*E7/$C7*1000</f>
        <v>167.99999999999997</v>
      </c>
      <c r="N7" s="173">
        <f t="shared" si="2"/>
        <v>335.99999999999994</v>
      </c>
      <c r="O7" s="173">
        <f t="shared" si="2"/>
        <v>504</v>
      </c>
      <c r="P7" s="173">
        <f t="shared" si="2"/>
        <v>671.99999999999989</v>
      </c>
      <c r="Q7" s="164" t="s">
        <v>592</v>
      </c>
    </row>
    <row r="8" spans="1:21" x14ac:dyDescent="0.25">
      <c r="A8" s="328">
        <v>15</v>
      </c>
      <c r="B8" s="331">
        <v>14</v>
      </c>
      <c r="C8" s="326">
        <f>1000/14</f>
        <v>71.428571428571431</v>
      </c>
      <c r="D8" s="169">
        <v>1000</v>
      </c>
      <c r="E8" s="169">
        <v>2</v>
      </c>
      <c r="F8" s="169">
        <v>4</v>
      </c>
      <c r="G8" s="169">
        <v>6</v>
      </c>
      <c r="H8" s="169">
        <v>8</v>
      </c>
      <c r="I8" s="169">
        <f t="shared" si="1"/>
        <v>28</v>
      </c>
      <c r="J8" s="169">
        <f t="shared" si="1"/>
        <v>56</v>
      </c>
      <c r="K8" s="169">
        <f t="shared" si="1"/>
        <v>84</v>
      </c>
      <c r="L8" s="170">
        <f t="shared" si="1"/>
        <v>112</v>
      </c>
      <c r="M8" s="169">
        <f t="shared" si="2"/>
        <v>335.99999999999994</v>
      </c>
      <c r="N8" s="169">
        <f t="shared" si="2"/>
        <v>671.99999999999989</v>
      </c>
      <c r="O8" s="169">
        <f t="shared" si="2"/>
        <v>1008</v>
      </c>
      <c r="P8" s="169">
        <f t="shared" si="2"/>
        <v>1343.9999999999998</v>
      </c>
    </row>
    <row r="10" spans="1:21" ht="15.75" x14ac:dyDescent="0.25">
      <c r="A10" s="159" t="s">
        <v>304</v>
      </c>
      <c r="C10" s="159"/>
    </row>
    <row r="11" spans="1:21" ht="30" customHeight="1" x14ac:dyDescent="0.25">
      <c r="A11" s="779"/>
      <c r="B11" s="779"/>
      <c r="C11" s="779"/>
      <c r="E11" s="780" t="s">
        <v>87</v>
      </c>
      <c r="F11" s="781"/>
      <c r="G11" s="780" t="s">
        <v>341</v>
      </c>
      <c r="H11" s="789"/>
      <c r="I11" s="789"/>
      <c r="J11" s="789"/>
      <c r="K11" s="781"/>
      <c r="L11" s="780" t="s">
        <v>343</v>
      </c>
      <c r="M11" s="789"/>
      <c r="N11" s="789"/>
      <c r="O11" s="789"/>
      <c r="P11" s="781"/>
      <c r="Q11" s="773" t="s">
        <v>348</v>
      </c>
      <c r="R11" s="773"/>
      <c r="S11" s="773"/>
      <c r="T11" s="773"/>
      <c r="U11" s="773"/>
    </row>
    <row r="12" spans="1:21" ht="48.75" customHeight="1" thickBot="1" x14ac:dyDescent="0.3">
      <c r="A12" s="187" t="s">
        <v>244</v>
      </c>
      <c r="B12" s="187" t="s">
        <v>347</v>
      </c>
      <c r="C12" s="272" t="s">
        <v>71</v>
      </c>
      <c r="D12" s="273" t="s">
        <v>138</v>
      </c>
      <c r="E12" s="187" t="s">
        <v>9</v>
      </c>
      <c r="F12" s="187" t="s">
        <v>148</v>
      </c>
      <c r="G12" s="187" t="s">
        <v>4</v>
      </c>
      <c r="H12" s="187" t="s">
        <v>3</v>
      </c>
      <c r="I12" s="187" t="s">
        <v>2</v>
      </c>
      <c r="J12" s="187" t="s">
        <v>1</v>
      </c>
      <c r="K12" s="187" t="s">
        <v>141</v>
      </c>
      <c r="L12" s="187" t="str">
        <f>Q12</f>
        <v>QPSK</v>
      </c>
      <c r="M12" s="187" t="str">
        <f>R12</f>
        <v>16 QAM</v>
      </c>
      <c r="N12" s="187" t="str">
        <f>S12</f>
        <v>64 QAM</v>
      </c>
      <c r="O12" s="187" t="str">
        <f>T12</f>
        <v>256 QAM</v>
      </c>
      <c r="P12" s="187" t="s">
        <v>141</v>
      </c>
      <c r="Q12" s="187" t="s">
        <v>4</v>
      </c>
      <c r="R12" s="187" t="s">
        <v>3</v>
      </c>
      <c r="S12" s="187" t="s">
        <v>2</v>
      </c>
      <c r="T12" s="187" t="s">
        <v>1</v>
      </c>
      <c r="U12" s="187" t="s">
        <v>141</v>
      </c>
    </row>
    <row r="13" spans="1:21" ht="13.5" thickTop="1" x14ac:dyDescent="0.25">
      <c r="A13" s="763" t="s">
        <v>48</v>
      </c>
      <c r="B13" s="189">
        <v>0</v>
      </c>
      <c r="C13" s="190">
        <f t="shared" ref="C13:C19" si="3">15*2^B13</f>
        <v>15</v>
      </c>
      <c r="D13" s="330">
        <v>14</v>
      </c>
      <c r="E13" s="332">
        <f>1000/14</f>
        <v>71.428571428571431</v>
      </c>
      <c r="F13" s="173">
        <v>1000</v>
      </c>
      <c r="G13" s="173">
        <v>2</v>
      </c>
      <c r="H13" s="173">
        <v>4</v>
      </c>
      <c r="I13" s="173">
        <v>6</v>
      </c>
      <c r="J13" s="173">
        <v>8</v>
      </c>
      <c r="K13" s="173">
        <v>10</v>
      </c>
      <c r="L13" s="173">
        <f t="shared" ref="L13:P16" si="4">G13*$F13/$E13</f>
        <v>28</v>
      </c>
      <c r="M13" s="173">
        <f t="shared" si="4"/>
        <v>56</v>
      </c>
      <c r="N13" s="173">
        <f t="shared" si="4"/>
        <v>84</v>
      </c>
      <c r="O13" s="173">
        <f t="shared" si="4"/>
        <v>112</v>
      </c>
      <c r="P13" s="173">
        <f t="shared" si="4"/>
        <v>140</v>
      </c>
      <c r="Q13" s="173">
        <f t="shared" ref="Q13:U16" si="5">12*G13/$E13*1000/14</f>
        <v>23.999999999999996</v>
      </c>
      <c r="R13" s="173">
        <f t="shared" si="5"/>
        <v>47.999999999999993</v>
      </c>
      <c r="S13" s="173">
        <f t="shared" si="5"/>
        <v>72</v>
      </c>
      <c r="T13" s="173">
        <f t="shared" si="5"/>
        <v>95.999999999999986</v>
      </c>
      <c r="U13" s="173">
        <f t="shared" si="5"/>
        <v>120</v>
      </c>
    </row>
    <row r="14" spans="1:21" x14ac:dyDescent="0.25">
      <c r="A14" s="764"/>
      <c r="B14" s="193">
        <v>1</v>
      </c>
      <c r="C14" s="194">
        <f t="shared" si="3"/>
        <v>30</v>
      </c>
      <c r="D14" s="331">
        <f>2*D13</f>
        <v>28</v>
      </c>
      <c r="E14" s="171">
        <f t="shared" ref="E14:E19" si="6">C$13/C14*E$13</f>
        <v>35.714285714285715</v>
      </c>
      <c r="F14" s="169">
        <f t="shared" ref="F14:F19" si="7">F$13*C$13/C14</f>
        <v>500</v>
      </c>
      <c r="G14" s="169">
        <v>2</v>
      </c>
      <c r="H14" s="169">
        <v>4</v>
      </c>
      <c r="I14" s="169">
        <v>6</v>
      </c>
      <c r="J14" s="169">
        <v>8</v>
      </c>
      <c r="K14" s="169">
        <v>10</v>
      </c>
      <c r="L14" s="169">
        <f t="shared" si="4"/>
        <v>28</v>
      </c>
      <c r="M14" s="169">
        <f t="shared" si="4"/>
        <v>56</v>
      </c>
      <c r="N14" s="169">
        <f t="shared" si="4"/>
        <v>84</v>
      </c>
      <c r="O14" s="169">
        <f t="shared" si="4"/>
        <v>112</v>
      </c>
      <c r="P14" s="169">
        <f t="shared" si="4"/>
        <v>140</v>
      </c>
      <c r="Q14" s="169">
        <f t="shared" si="5"/>
        <v>47.999999999999993</v>
      </c>
      <c r="R14" s="169">
        <f t="shared" si="5"/>
        <v>95.999999999999986</v>
      </c>
      <c r="S14" s="169">
        <f t="shared" si="5"/>
        <v>144</v>
      </c>
      <c r="T14" s="169">
        <f t="shared" si="5"/>
        <v>191.99999999999997</v>
      </c>
      <c r="U14" s="169">
        <f t="shared" si="5"/>
        <v>240</v>
      </c>
    </row>
    <row r="15" spans="1:21" x14ac:dyDescent="0.25">
      <c r="A15" s="193" t="s">
        <v>245</v>
      </c>
      <c r="B15" s="193">
        <v>2</v>
      </c>
      <c r="C15" s="194">
        <f t="shared" si="3"/>
        <v>60</v>
      </c>
      <c r="D15" s="331">
        <f t="shared" ref="D15:D17" si="8">2*D14</f>
        <v>56</v>
      </c>
      <c r="E15" s="171">
        <f t="shared" si="6"/>
        <v>17.857142857142858</v>
      </c>
      <c r="F15" s="169">
        <f t="shared" si="7"/>
        <v>250</v>
      </c>
      <c r="G15" s="169">
        <v>2</v>
      </c>
      <c r="H15" s="169">
        <v>4</v>
      </c>
      <c r="I15" s="169">
        <v>6</v>
      </c>
      <c r="J15" s="169">
        <v>8</v>
      </c>
      <c r="K15" s="169">
        <f>K14</f>
        <v>10</v>
      </c>
      <c r="L15" s="169">
        <f t="shared" si="4"/>
        <v>28</v>
      </c>
      <c r="M15" s="169">
        <f t="shared" si="4"/>
        <v>56</v>
      </c>
      <c r="N15" s="169">
        <f t="shared" si="4"/>
        <v>84</v>
      </c>
      <c r="O15" s="169">
        <f t="shared" si="4"/>
        <v>112</v>
      </c>
      <c r="P15" s="169">
        <f t="shared" si="4"/>
        <v>140</v>
      </c>
      <c r="Q15" s="169">
        <f t="shared" si="5"/>
        <v>95.999999999999986</v>
      </c>
      <c r="R15" s="169">
        <f t="shared" si="5"/>
        <v>191.99999999999997</v>
      </c>
      <c r="S15" s="169">
        <f t="shared" si="5"/>
        <v>288</v>
      </c>
      <c r="T15" s="169">
        <f t="shared" si="5"/>
        <v>383.99999999999994</v>
      </c>
      <c r="U15" s="169">
        <f t="shared" si="5"/>
        <v>480</v>
      </c>
    </row>
    <row r="16" spans="1:21" x14ac:dyDescent="0.25">
      <c r="A16" s="193" t="s">
        <v>246</v>
      </c>
      <c r="B16" s="193">
        <v>3</v>
      </c>
      <c r="C16" s="194">
        <f t="shared" si="3"/>
        <v>120</v>
      </c>
      <c r="D16" s="331">
        <f t="shared" si="8"/>
        <v>112</v>
      </c>
      <c r="E16" s="174">
        <f t="shared" si="6"/>
        <v>8.9285714285714288</v>
      </c>
      <c r="F16" s="169">
        <f t="shared" si="7"/>
        <v>125</v>
      </c>
      <c r="G16" s="169">
        <v>2</v>
      </c>
      <c r="H16" s="169">
        <v>4</v>
      </c>
      <c r="I16" s="169">
        <v>6</v>
      </c>
      <c r="J16" s="169">
        <v>8</v>
      </c>
      <c r="K16" s="169">
        <f>K15</f>
        <v>10</v>
      </c>
      <c r="L16" s="169">
        <f t="shared" si="4"/>
        <v>28</v>
      </c>
      <c r="M16" s="169">
        <f t="shared" si="4"/>
        <v>56</v>
      </c>
      <c r="N16" s="169">
        <f t="shared" si="4"/>
        <v>84</v>
      </c>
      <c r="O16" s="169">
        <f t="shared" si="4"/>
        <v>112</v>
      </c>
      <c r="P16" s="169">
        <f t="shared" si="4"/>
        <v>140</v>
      </c>
      <c r="Q16" s="169">
        <f t="shared" si="5"/>
        <v>191.99999999999997</v>
      </c>
      <c r="R16" s="169">
        <f t="shared" si="5"/>
        <v>383.99999999999994</v>
      </c>
      <c r="S16" s="169">
        <f t="shared" si="5"/>
        <v>576</v>
      </c>
      <c r="T16" s="169">
        <f t="shared" si="5"/>
        <v>767.99999999999989</v>
      </c>
      <c r="U16" s="169">
        <f t="shared" si="5"/>
        <v>960</v>
      </c>
    </row>
    <row r="17" spans="1:22" x14ac:dyDescent="0.25">
      <c r="A17" s="762" t="s">
        <v>247</v>
      </c>
      <c r="B17" s="193">
        <v>4</v>
      </c>
      <c r="C17" s="194">
        <f t="shared" si="3"/>
        <v>240</v>
      </c>
      <c r="D17" s="331">
        <f t="shared" si="8"/>
        <v>224</v>
      </c>
      <c r="E17" s="174">
        <f t="shared" si="6"/>
        <v>4.4642857142857144</v>
      </c>
      <c r="F17" s="175">
        <f t="shared" si="7"/>
        <v>62.5</v>
      </c>
      <c r="G17" s="176"/>
      <c r="H17" s="176"/>
      <c r="I17" s="176"/>
      <c r="J17" s="176"/>
      <c r="K17" s="176"/>
      <c r="L17" s="176"/>
      <c r="M17" s="176"/>
      <c r="N17" s="176"/>
      <c r="O17" s="176"/>
      <c r="P17" s="176"/>
      <c r="Q17" s="176"/>
      <c r="R17" s="176"/>
      <c r="S17" s="176"/>
      <c r="T17" s="176"/>
      <c r="U17" s="176"/>
      <c r="V17" s="177"/>
    </row>
    <row r="18" spans="1:22" x14ac:dyDescent="0.25">
      <c r="A18" s="763"/>
      <c r="B18" s="193">
        <v>5</v>
      </c>
      <c r="C18" s="194">
        <f t="shared" si="3"/>
        <v>480</v>
      </c>
      <c r="D18" s="331">
        <f>4*D16</f>
        <v>448</v>
      </c>
      <c r="E18" s="174">
        <f t="shared" si="6"/>
        <v>2.2321428571428572</v>
      </c>
      <c r="F18" s="178">
        <f t="shared" si="7"/>
        <v>31.25</v>
      </c>
      <c r="G18" s="169">
        <v>2</v>
      </c>
      <c r="H18" s="169">
        <v>4</v>
      </c>
      <c r="I18" s="169">
        <v>6</v>
      </c>
      <c r="J18" s="169">
        <v>8</v>
      </c>
      <c r="K18" s="169">
        <v>10</v>
      </c>
      <c r="L18" s="169">
        <f t="shared" ref="L18:O19" si="9">G18*$F18/$E18</f>
        <v>28</v>
      </c>
      <c r="M18" s="169">
        <f t="shared" si="9"/>
        <v>56</v>
      </c>
      <c r="N18" s="169">
        <f t="shared" si="9"/>
        <v>84</v>
      </c>
      <c r="O18" s="169">
        <f t="shared" si="9"/>
        <v>112</v>
      </c>
      <c r="P18" s="169">
        <f>P16</f>
        <v>140</v>
      </c>
      <c r="Q18" s="169">
        <f t="shared" ref="Q18:U19" si="10">12*G18/$E18*1000/14</f>
        <v>767.99999999999989</v>
      </c>
      <c r="R18" s="169">
        <f t="shared" si="10"/>
        <v>1535.9999999999998</v>
      </c>
      <c r="S18" s="169">
        <f t="shared" si="10"/>
        <v>2304</v>
      </c>
      <c r="T18" s="169">
        <f t="shared" si="10"/>
        <v>3071.9999999999995</v>
      </c>
      <c r="U18" s="169">
        <f t="shared" si="10"/>
        <v>3840</v>
      </c>
    </row>
    <row r="19" spans="1:22" x14ac:dyDescent="0.25">
      <c r="A19" s="764"/>
      <c r="B19" s="193">
        <v>6</v>
      </c>
      <c r="C19" s="194">
        <f t="shared" si="3"/>
        <v>960</v>
      </c>
      <c r="D19" s="331">
        <f>2*D18</f>
        <v>896</v>
      </c>
      <c r="E19" s="174">
        <f t="shared" si="6"/>
        <v>1.1160714285714286</v>
      </c>
      <c r="F19" s="179">
        <f t="shared" si="7"/>
        <v>15.625</v>
      </c>
      <c r="G19" s="169">
        <v>2</v>
      </c>
      <c r="H19" s="169">
        <v>4</v>
      </c>
      <c r="I19" s="169">
        <v>6</v>
      </c>
      <c r="J19" s="169">
        <v>8</v>
      </c>
      <c r="K19" s="169">
        <f>K18</f>
        <v>10</v>
      </c>
      <c r="L19" s="169">
        <f t="shared" si="9"/>
        <v>28</v>
      </c>
      <c r="M19" s="169">
        <f t="shared" si="9"/>
        <v>56</v>
      </c>
      <c r="N19" s="169">
        <f t="shared" si="9"/>
        <v>84</v>
      </c>
      <c r="O19" s="169">
        <f t="shared" si="9"/>
        <v>112</v>
      </c>
      <c r="P19" s="169">
        <f>P18</f>
        <v>140</v>
      </c>
      <c r="Q19" s="169">
        <f t="shared" si="10"/>
        <v>1535.9999999999998</v>
      </c>
      <c r="R19" s="169">
        <f t="shared" si="10"/>
        <v>3071.9999999999995</v>
      </c>
      <c r="S19" s="169">
        <f t="shared" si="10"/>
        <v>4608</v>
      </c>
      <c r="T19" s="169">
        <f t="shared" si="10"/>
        <v>6143.9999999999991</v>
      </c>
      <c r="U19" s="169">
        <f t="shared" si="10"/>
        <v>7680</v>
      </c>
    </row>
    <row r="20" spans="1:22" x14ac:dyDescent="0.25">
      <c r="A20" s="180" t="s">
        <v>56</v>
      </c>
      <c r="B20" s="181"/>
      <c r="C20" s="182"/>
      <c r="D20" s="183"/>
      <c r="E20" s="183"/>
      <c r="F20" s="182"/>
    </row>
    <row r="22" spans="1:22" x14ac:dyDescent="0.25">
      <c r="A22" s="164" t="s">
        <v>220</v>
      </c>
    </row>
    <row r="23" spans="1:22" x14ac:dyDescent="0.25">
      <c r="A23" s="765" t="s">
        <v>237</v>
      </c>
      <c r="B23" s="773" t="s">
        <v>347</v>
      </c>
      <c r="C23" s="776" t="s">
        <v>71</v>
      </c>
      <c r="D23" s="782" t="s">
        <v>9</v>
      </c>
      <c r="E23" s="783"/>
      <c r="F23" s="780" t="s">
        <v>130</v>
      </c>
      <c r="G23" s="770"/>
      <c r="H23" s="770"/>
      <c r="I23" s="765"/>
      <c r="J23" s="790" t="s">
        <v>131</v>
      </c>
      <c r="K23" s="791"/>
      <c r="L23" s="773" t="s">
        <v>238</v>
      </c>
    </row>
    <row r="24" spans="1:22" x14ac:dyDescent="0.25">
      <c r="A24" s="765"/>
      <c r="B24" s="773"/>
      <c r="C24" s="776"/>
      <c r="D24" s="784"/>
      <c r="E24" s="785"/>
      <c r="F24" s="780" t="s">
        <v>132</v>
      </c>
      <c r="G24" s="765"/>
      <c r="H24" s="780" t="s">
        <v>133</v>
      </c>
      <c r="I24" s="765"/>
      <c r="J24" s="771"/>
      <c r="K24" s="772"/>
      <c r="L24" s="773"/>
    </row>
    <row r="25" spans="1:22" ht="31.5" customHeight="1" thickBot="1" x14ac:dyDescent="0.3">
      <c r="A25" s="766"/>
      <c r="B25" s="774"/>
      <c r="C25" s="778"/>
      <c r="D25" s="273" t="s">
        <v>239</v>
      </c>
      <c r="E25" s="188" t="s">
        <v>240</v>
      </c>
      <c r="F25" s="187" t="s">
        <v>241</v>
      </c>
      <c r="G25" s="188" t="s">
        <v>240</v>
      </c>
      <c r="H25" s="187" t="s">
        <v>129</v>
      </c>
      <c r="I25" s="188" t="s">
        <v>240</v>
      </c>
      <c r="J25" s="187" t="s">
        <v>242</v>
      </c>
      <c r="K25" s="188" t="s">
        <v>240</v>
      </c>
      <c r="L25" s="774"/>
    </row>
    <row r="26" spans="1:22" ht="13.5" thickTop="1" x14ac:dyDescent="0.25">
      <c r="A26" s="762" t="s">
        <v>48</v>
      </c>
      <c r="B26" s="189">
        <v>0</v>
      </c>
      <c r="C26" s="190">
        <f t="shared" ref="C26:C32" si="11">15*2^B26</f>
        <v>15</v>
      </c>
      <c r="D26" s="333">
        <f t="shared" ref="D26:D32" si="12">2048*64*2^-B26</f>
        <v>131072</v>
      </c>
      <c r="E26" s="191">
        <f t="shared" ref="E26:E32" si="13">D26*$G$71</f>
        <v>66.666666666666671</v>
      </c>
      <c r="F26" s="173">
        <f t="shared" ref="F26:F32" si="14">64*144*2^-B26</f>
        <v>9216</v>
      </c>
      <c r="G26" s="192">
        <f t="shared" ref="G26:G32" si="15">F26*$G$71</f>
        <v>4.6875</v>
      </c>
      <c r="H26" s="173">
        <f>F26+16*64</f>
        <v>10240</v>
      </c>
      <c r="I26" s="192">
        <f t="shared" ref="I26:I32" si="16">H26*$G$71</f>
        <v>5.2083333333333339</v>
      </c>
      <c r="J26" s="173" t="s">
        <v>0</v>
      </c>
      <c r="K26" s="173" t="s">
        <v>0</v>
      </c>
      <c r="L26" s="173">
        <f t="shared" ref="L26:L32" si="17">H26+(2^B26-1)*F26</f>
        <v>10240</v>
      </c>
      <c r="O26" s="177"/>
    </row>
    <row r="27" spans="1:22" x14ac:dyDescent="0.25">
      <c r="A27" s="764"/>
      <c r="B27" s="193">
        <v>1</v>
      </c>
      <c r="C27" s="194">
        <f t="shared" si="11"/>
        <v>30</v>
      </c>
      <c r="D27" s="334">
        <f t="shared" si="12"/>
        <v>65536</v>
      </c>
      <c r="E27" s="178">
        <f t="shared" si="13"/>
        <v>33.333333333333336</v>
      </c>
      <c r="F27" s="173">
        <f t="shared" si="14"/>
        <v>4608</v>
      </c>
      <c r="G27" s="179">
        <f t="shared" si="15"/>
        <v>2.34375</v>
      </c>
      <c r="H27" s="173">
        <f>F27+16*64</f>
        <v>5632</v>
      </c>
      <c r="I27" s="179">
        <f t="shared" si="16"/>
        <v>2.8645833333333335</v>
      </c>
      <c r="J27" s="173" t="s">
        <v>0</v>
      </c>
      <c r="K27" s="173" t="s">
        <v>0</v>
      </c>
      <c r="L27" s="169">
        <f t="shared" si="17"/>
        <v>10240</v>
      </c>
      <c r="O27" s="177"/>
      <c r="P27" s="196"/>
    </row>
    <row r="28" spans="1:22" x14ac:dyDescent="0.25">
      <c r="A28" s="193" t="s">
        <v>245</v>
      </c>
      <c r="B28" s="193">
        <v>2</v>
      </c>
      <c r="C28" s="194">
        <f t="shared" si="11"/>
        <v>60</v>
      </c>
      <c r="D28" s="334">
        <f t="shared" si="12"/>
        <v>32768</v>
      </c>
      <c r="E28" s="178">
        <f t="shared" si="13"/>
        <v>16.666666666666668</v>
      </c>
      <c r="F28" s="173">
        <f t="shared" si="14"/>
        <v>2304</v>
      </c>
      <c r="G28" s="179">
        <f t="shared" si="15"/>
        <v>1.171875</v>
      </c>
      <c r="H28" s="173">
        <f>F28+16*64</f>
        <v>3328</v>
      </c>
      <c r="I28" s="179">
        <f t="shared" si="16"/>
        <v>1.6927083333333335</v>
      </c>
      <c r="J28" s="173">
        <f>512*64*2^-B28</f>
        <v>8192</v>
      </c>
      <c r="K28" s="175">
        <f>J28*$G$71</f>
        <v>4.166666666666667</v>
      </c>
      <c r="L28" s="169">
        <f t="shared" si="17"/>
        <v>10240</v>
      </c>
    </row>
    <row r="29" spans="1:22" x14ac:dyDescent="0.25">
      <c r="A29" s="193" t="s">
        <v>246</v>
      </c>
      <c r="B29" s="193">
        <v>3</v>
      </c>
      <c r="C29" s="194">
        <f t="shared" si="11"/>
        <v>120</v>
      </c>
      <c r="D29" s="334">
        <f t="shared" si="12"/>
        <v>16384</v>
      </c>
      <c r="E29" s="179">
        <f t="shared" si="13"/>
        <v>8.3333333333333339</v>
      </c>
      <c r="F29" s="173">
        <f t="shared" si="14"/>
        <v>1152</v>
      </c>
      <c r="G29" s="179">
        <f t="shared" si="15"/>
        <v>0.5859375</v>
      </c>
      <c r="H29" s="173">
        <f t="shared" ref="H29:H32" si="18">F29+16*64</f>
        <v>2176</v>
      </c>
      <c r="I29" s="179">
        <f t="shared" si="16"/>
        <v>1.1067708333333335</v>
      </c>
      <c r="J29" s="173" t="s">
        <v>0</v>
      </c>
      <c r="K29" s="178" t="s">
        <v>0</v>
      </c>
      <c r="L29" s="169">
        <f t="shared" si="17"/>
        <v>10240</v>
      </c>
    </row>
    <row r="30" spans="1:22" x14ac:dyDescent="0.25">
      <c r="A30" s="762" t="s">
        <v>247</v>
      </c>
      <c r="B30" s="193">
        <v>4</v>
      </c>
      <c r="C30" s="194">
        <f t="shared" si="11"/>
        <v>240</v>
      </c>
      <c r="D30" s="335">
        <f t="shared" si="12"/>
        <v>8192</v>
      </c>
      <c r="E30" s="198">
        <f t="shared" si="13"/>
        <v>4.166666666666667</v>
      </c>
      <c r="F30" s="199">
        <f t="shared" si="14"/>
        <v>576</v>
      </c>
      <c r="G30" s="198">
        <f t="shared" si="15"/>
        <v>0.29296875</v>
      </c>
      <c r="H30" s="199">
        <f t="shared" si="18"/>
        <v>1600</v>
      </c>
      <c r="I30" s="198">
        <f t="shared" si="16"/>
        <v>0.81380208333333337</v>
      </c>
      <c r="J30" s="199" t="s">
        <v>0</v>
      </c>
      <c r="K30" s="200" t="s">
        <v>0</v>
      </c>
      <c r="L30" s="197">
        <f t="shared" si="17"/>
        <v>10240</v>
      </c>
    </row>
    <row r="31" spans="1:22" x14ac:dyDescent="0.25">
      <c r="A31" s="763"/>
      <c r="B31" s="193">
        <v>5</v>
      </c>
      <c r="C31" s="194">
        <f t="shared" si="11"/>
        <v>480</v>
      </c>
      <c r="D31" s="334">
        <f t="shared" si="12"/>
        <v>4096</v>
      </c>
      <c r="E31" s="215">
        <f t="shared" si="13"/>
        <v>2.0833333333333335</v>
      </c>
      <c r="F31" s="173">
        <f t="shared" si="14"/>
        <v>288</v>
      </c>
      <c r="G31" s="179">
        <f t="shared" si="15"/>
        <v>0.146484375</v>
      </c>
      <c r="H31" s="173">
        <f t="shared" si="18"/>
        <v>1312</v>
      </c>
      <c r="I31" s="179">
        <f t="shared" si="16"/>
        <v>0.66731770833333337</v>
      </c>
      <c r="J31" s="173" t="s">
        <v>0</v>
      </c>
      <c r="K31" s="178" t="s">
        <v>0</v>
      </c>
      <c r="L31" s="169">
        <f t="shared" si="17"/>
        <v>10240</v>
      </c>
    </row>
    <row r="32" spans="1:22" x14ac:dyDescent="0.25">
      <c r="A32" s="764"/>
      <c r="B32" s="193">
        <v>6</v>
      </c>
      <c r="C32" s="194">
        <f t="shared" si="11"/>
        <v>960</v>
      </c>
      <c r="D32" s="334">
        <f t="shared" si="12"/>
        <v>2048</v>
      </c>
      <c r="E32" s="179">
        <f t="shared" si="13"/>
        <v>1.0416666666666667</v>
      </c>
      <c r="F32" s="173">
        <f t="shared" si="14"/>
        <v>144</v>
      </c>
      <c r="G32" s="179">
        <f t="shared" si="15"/>
        <v>7.32421875E-2</v>
      </c>
      <c r="H32" s="173">
        <f t="shared" si="18"/>
        <v>1168</v>
      </c>
      <c r="I32" s="179">
        <f t="shared" si="16"/>
        <v>0.59407552083333337</v>
      </c>
      <c r="J32" s="173" t="s">
        <v>0</v>
      </c>
      <c r="K32" s="178" t="s">
        <v>0</v>
      </c>
      <c r="L32" s="169">
        <f t="shared" si="17"/>
        <v>10240</v>
      </c>
    </row>
    <row r="33" spans="1:21" x14ac:dyDescent="0.25">
      <c r="A33" s="201"/>
      <c r="C33" s="201"/>
      <c r="F33" s="161"/>
      <c r="G33" s="161"/>
      <c r="H33" s="161"/>
      <c r="I33" s="161"/>
      <c r="L33" s="202"/>
      <c r="M33" s="203"/>
      <c r="N33" s="202"/>
      <c r="O33" s="203"/>
      <c r="P33" s="202"/>
      <c r="Q33" s="203"/>
      <c r="R33" s="202"/>
    </row>
    <row r="34" spans="1:21" x14ac:dyDescent="0.25">
      <c r="A34" s="159" t="s">
        <v>234</v>
      </c>
      <c r="C34" s="201"/>
      <c r="F34" s="161"/>
      <c r="G34" s="161"/>
      <c r="H34" s="161"/>
      <c r="I34" s="161"/>
      <c r="L34" s="202"/>
      <c r="M34" s="203"/>
      <c r="N34" s="202"/>
      <c r="O34" s="203"/>
      <c r="P34" s="202"/>
      <c r="Q34" s="203"/>
      <c r="R34" s="202"/>
    </row>
    <row r="35" spans="1:21" ht="15" customHeight="1" x14ac:dyDescent="0.25">
      <c r="A35" s="765" t="s">
        <v>237</v>
      </c>
      <c r="B35" s="773" t="s">
        <v>347</v>
      </c>
      <c r="C35" s="776" t="s">
        <v>71</v>
      </c>
      <c r="D35" s="770" t="s">
        <v>235</v>
      </c>
      <c r="E35" s="770"/>
      <c r="F35" s="770"/>
      <c r="G35" s="770"/>
      <c r="H35" s="770"/>
      <c r="I35" s="770"/>
      <c r="J35" s="770"/>
      <c r="K35" s="765"/>
      <c r="L35" s="202"/>
      <c r="M35" s="786" t="s">
        <v>243</v>
      </c>
      <c r="N35" s="786"/>
      <c r="O35" s="786"/>
      <c r="P35" s="786"/>
      <c r="Q35" s="786"/>
      <c r="R35" s="786"/>
    </row>
    <row r="36" spans="1:21" x14ac:dyDescent="0.25">
      <c r="A36" s="765"/>
      <c r="B36" s="773"/>
      <c r="C36" s="776"/>
      <c r="D36" s="775" t="s">
        <v>221</v>
      </c>
      <c r="E36" s="772"/>
      <c r="F36" s="771" t="s">
        <v>222</v>
      </c>
      <c r="G36" s="772"/>
      <c r="H36" s="771" t="s">
        <v>225</v>
      </c>
      <c r="I36" s="772"/>
      <c r="J36" s="771" t="s">
        <v>223</v>
      </c>
      <c r="K36" s="772"/>
      <c r="L36" s="202"/>
      <c r="M36" s="771" t="s">
        <v>221</v>
      </c>
      <c r="N36" s="772"/>
      <c r="O36" s="771" t="s">
        <v>222</v>
      </c>
      <c r="P36" s="772"/>
      <c r="Q36" s="771" t="s">
        <v>225</v>
      </c>
      <c r="R36" s="772"/>
    </row>
    <row r="37" spans="1:21" ht="13.5" thickBot="1" x14ac:dyDescent="0.3">
      <c r="A37" s="766"/>
      <c r="B37" s="774"/>
      <c r="C37" s="778"/>
      <c r="D37" s="273" t="s">
        <v>128</v>
      </c>
      <c r="E37" s="188" t="s">
        <v>240</v>
      </c>
      <c r="F37" s="187" t="s">
        <v>128</v>
      </c>
      <c r="G37" s="188" t="s">
        <v>240</v>
      </c>
      <c r="H37" s="187" t="s">
        <v>128</v>
      </c>
      <c r="I37" s="188" t="s">
        <v>240</v>
      </c>
      <c r="J37" s="187" t="s">
        <v>128</v>
      </c>
      <c r="K37" s="188" t="s">
        <v>240</v>
      </c>
      <c r="L37" s="202"/>
      <c r="M37" s="193" t="s">
        <v>226</v>
      </c>
      <c r="N37" s="193" t="s">
        <v>227</v>
      </c>
      <c r="O37" s="193" t="s">
        <v>226</v>
      </c>
      <c r="P37" s="193" t="s">
        <v>227</v>
      </c>
      <c r="Q37" s="193" t="s">
        <v>226</v>
      </c>
      <c r="R37" s="193" t="s">
        <v>227</v>
      </c>
    </row>
    <row r="38" spans="1:21" ht="13.5" thickTop="1" x14ac:dyDescent="0.25">
      <c r="A38" s="762" t="s">
        <v>48</v>
      </c>
      <c r="B38" s="189">
        <v>0</v>
      </c>
      <c r="C38" s="190">
        <f t="shared" ref="C38:C44" si="19">15*2^B38</f>
        <v>15</v>
      </c>
      <c r="D38" s="333">
        <f t="shared" ref="D38:D44" si="20">$D26+F26</f>
        <v>140288</v>
      </c>
      <c r="E38" s="191">
        <f t="shared" ref="E38:E44" si="21">D38*$G$71</f>
        <v>71.354166666666671</v>
      </c>
      <c r="F38" s="173">
        <f t="shared" ref="F38:F44" si="22">$D26+H26</f>
        <v>141312</v>
      </c>
      <c r="G38" s="191">
        <f t="shared" ref="G38:G44" si="23">F38*$G$71</f>
        <v>71.875</v>
      </c>
      <c r="H38" s="204">
        <f t="shared" ref="H38:H44" si="24">((14*2^B38-2)*D38+2*F38)/(14*2^B38)</f>
        <v>140434.28571428571</v>
      </c>
      <c r="I38" s="191">
        <f t="shared" ref="I38:I44" si="25">H38*$G$71</f>
        <v>71.428571428571431</v>
      </c>
      <c r="J38" s="173" t="s">
        <v>224</v>
      </c>
      <c r="K38" s="173" t="s">
        <v>0</v>
      </c>
      <c r="L38" s="202"/>
      <c r="M38" s="175">
        <f t="shared" ref="M38:M44" si="26">D$38/2^$B38</f>
        <v>140288</v>
      </c>
      <c r="N38" s="205">
        <f>(D38-M38)/D38</f>
        <v>0</v>
      </c>
      <c r="O38" s="175">
        <f t="shared" ref="O38:O44" si="27">F$38/2^$B38</f>
        <v>141312</v>
      </c>
      <c r="P38" s="205">
        <f>(F38-O38)/F38</f>
        <v>0</v>
      </c>
      <c r="Q38" s="178">
        <f t="shared" ref="Q38:Q44" si="28">H$38/2^$B38</f>
        <v>140434.28571428571</v>
      </c>
      <c r="R38" s="206">
        <f>(H38-Q38)/H38</f>
        <v>0</v>
      </c>
    </row>
    <row r="39" spans="1:21" x14ac:dyDescent="0.25">
      <c r="A39" s="764"/>
      <c r="B39" s="193">
        <v>1</v>
      </c>
      <c r="C39" s="194">
        <f t="shared" si="19"/>
        <v>30</v>
      </c>
      <c r="D39" s="333">
        <f t="shared" si="20"/>
        <v>70144</v>
      </c>
      <c r="E39" s="178">
        <f t="shared" si="21"/>
        <v>35.677083333333336</v>
      </c>
      <c r="F39" s="173">
        <f t="shared" si="22"/>
        <v>71168</v>
      </c>
      <c r="G39" s="178">
        <f t="shared" si="23"/>
        <v>36.197916666666671</v>
      </c>
      <c r="H39" s="204">
        <f t="shared" si="24"/>
        <v>70217.142857142855</v>
      </c>
      <c r="I39" s="178">
        <f t="shared" si="25"/>
        <v>35.714285714285715</v>
      </c>
      <c r="J39" s="173" t="s">
        <v>0</v>
      </c>
      <c r="K39" s="173" t="s">
        <v>0</v>
      </c>
      <c r="L39" s="202"/>
      <c r="M39" s="175">
        <f t="shared" si="26"/>
        <v>70144</v>
      </c>
      <c r="N39" s="205">
        <f t="shared" ref="N39:R43" si="29">(D39-M39)/D39</f>
        <v>0</v>
      </c>
      <c r="O39" s="175">
        <f t="shared" si="27"/>
        <v>70656</v>
      </c>
      <c r="P39" s="205">
        <f>(F39-O39)/F39</f>
        <v>7.1942446043165471E-3</v>
      </c>
      <c r="Q39" s="178">
        <f t="shared" si="28"/>
        <v>70217.142857142855</v>
      </c>
      <c r="R39" s="206">
        <f>(H39-Q39)/H39</f>
        <v>0</v>
      </c>
    </row>
    <row r="40" spans="1:21" x14ac:dyDescent="0.25">
      <c r="A40" s="193" t="s">
        <v>245</v>
      </c>
      <c r="B40" s="193">
        <v>2</v>
      </c>
      <c r="C40" s="194">
        <f t="shared" si="19"/>
        <v>60</v>
      </c>
      <c r="D40" s="333">
        <f t="shared" si="20"/>
        <v>35072</v>
      </c>
      <c r="E40" s="178">
        <f t="shared" si="21"/>
        <v>17.838541666666668</v>
      </c>
      <c r="F40" s="173">
        <f t="shared" si="22"/>
        <v>36096</v>
      </c>
      <c r="G40" s="178">
        <f t="shared" si="23"/>
        <v>18.359375</v>
      </c>
      <c r="H40" s="204">
        <f t="shared" si="24"/>
        <v>35108.571428571428</v>
      </c>
      <c r="I40" s="178">
        <f t="shared" si="25"/>
        <v>17.857142857142858</v>
      </c>
      <c r="J40" s="173">
        <f>$D28+J28</f>
        <v>40960</v>
      </c>
      <c r="K40" s="178">
        <f>J40*$G$71</f>
        <v>20.833333333333336</v>
      </c>
      <c r="L40" s="202"/>
      <c r="M40" s="175">
        <f t="shared" si="26"/>
        <v>35072</v>
      </c>
      <c r="N40" s="205">
        <f t="shared" si="29"/>
        <v>0</v>
      </c>
      <c r="O40" s="175">
        <f t="shared" si="27"/>
        <v>35328</v>
      </c>
      <c r="P40" s="205">
        <f t="shared" si="29"/>
        <v>2.1276595744680851E-2</v>
      </c>
      <c r="Q40" s="178">
        <f t="shared" si="28"/>
        <v>35108.571428571428</v>
      </c>
      <c r="R40" s="206">
        <f t="shared" si="29"/>
        <v>0</v>
      </c>
    </row>
    <row r="41" spans="1:21" x14ac:dyDescent="0.25">
      <c r="A41" s="193" t="s">
        <v>246</v>
      </c>
      <c r="B41" s="193">
        <v>3</v>
      </c>
      <c r="C41" s="194">
        <f t="shared" si="19"/>
        <v>120</v>
      </c>
      <c r="D41" s="333">
        <f t="shared" si="20"/>
        <v>17536</v>
      </c>
      <c r="E41" s="179">
        <f t="shared" si="21"/>
        <v>8.9192708333333339</v>
      </c>
      <c r="F41" s="173">
        <f t="shared" si="22"/>
        <v>18560</v>
      </c>
      <c r="G41" s="179">
        <f t="shared" si="23"/>
        <v>9.4401041666666679</v>
      </c>
      <c r="H41" s="204">
        <f t="shared" si="24"/>
        <v>17554.285714285714</v>
      </c>
      <c r="I41" s="179">
        <f t="shared" si="25"/>
        <v>8.9285714285714288</v>
      </c>
      <c r="J41" s="173" t="s">
        <v>0</v>
      </c>
      <c r="K41" s="178" t="s">
        <v>0</v>
      </c>
      <c r="L41" s="202"/>
      <c r="M41" s="175">
        <f t="shared" si="26"/>
        <v>17536</v>
      </c>
      <c r="N41" s="205">
        <f t="shared" si="29"/>
        <v>0</v>
      </c>
      <c r="O41" s="175">
        <f t="shared" si="27"/>
        <v>17664</v>
      </c>
      <c r="P41" s="205">
        <f t="shared" si="29"/>
        <v>4.8275862068965517E-2</v>
      </c>
      <c r="Q41" s="178">
        <f t="shared" si="28"/>
        <v>17554.285714285714</v>
      </c>
      <c r="R41" s="206">
        <f t="shared" si="29"/>
        <v>0</v>
      </c>
    </row>
    <row r="42" spans="1:21" x14ac:dyDescent="0.25">
      <c r="A42" s="762" t="s">
        <v>247</v>
      </c>
      <c r="B42" s="193">
        <v>4</v>
      </c>
      <c r="C42" s="194">
        <f t="shared" si="19"/>
        <v>240</v>
      </c>
      <c r="D42" s="336">
        <f t="shared" si="20"/>
        <v>8768</v>
      </c>
      <c r="E42" s="198">
        <f t="shared" si="21"/>
        <v>4.459635416666667</v>
      </c>
      <c r="F42" s="199">
        <f t="shared" si="22"/>
        <v>9792</v>
      </c>
      <c r="G42" s="198">
        <f t="shared" si="23"/>
        <v>4.98046875</v>
      </c>
      <c r="H42" s="207">
        <f t="shared" si="24"/>
        <v>8777.1428571428569</v>
      </c>
      <c r="I42" s="198">
        <f t="shared" si="25"/>
        <v>4.4642857142857144</v>
      </c>
      <c r="J42" s="199" t="s">
        <v>0</v>
      </c>
      <c r="K42" s="200" t="s">
        <v>0</v>
      </c>
      <c r="L42" s="202"/>
      <c r="M42" s="175">
        <f t="shared" si="26"/>
        <v>8768</v>
      </c>
      <c r="N42" s="205">
        <f t="shared" si="29"/>
        <v>0</v>
      </c>
      <c r="O42" s="175">
        <f t="shared" si="27"/>
        <v>8832</v>
      </c>
      <c r="P42" s="205">
        <f t="shared" si="29"/>
        <v>9.8039215686274508E-2</v>
      </c>
      <c r="Q42" s="178">
        <f t="shared" si="28"/>
        <v>8777.1428571428569</v>
      </c>
      <c r="R42" s="206">
        <f t="shared" si="29"/>
        <v>0</v>
      </c>
    </row>
    <row r="43" spans="1:21" x14ac:dyDescent="0.25">
      <c r="A43" s="763"/>
      <c r="B43" s="193">
        <v>5</v>
      </c>
      <c r="C43" s="194">
        <f t="shared" si="19"/>
        <v>480</v>
      </c>
      <c r="D43" s="333">
        <f t="shared" si="20"/>
        <v>4384</v>
      </c>
      <c r="E43" s="179">
        <f t="shared" si="21"/>
        <v>2.2298177083333335</v>
      </c>
      <c r="F43" s="173">
        <f t="shared" si="22"/>
        <v>5408</v>
      </c>
      <c r="G43" s="179">
        <f t="shared" si="23"/>
        <v>2.750651041666667</v>
      </c>
      <c r="H43" s="204">
        <f t="shared" si="24"/>
        <v>4388.5714285714284</v>
      </c>
      <c r="I43" s="179">
        <f t="shared" si="25"/>
        <v>2.2321428571428572</v>
      </c>
      <c r="J43" s="173" t="s">
        <v>0</v>
      </c>
      <c r="K43" s="178" t="s">
        <v>0</v>
      </c>
      <c r="L43" s="202"/>
      <c r="M43" s="175">
        <f t="shared" si="26"/>
        <v>4384</v>
      </c>
      <c r="N43" s="205">
        <f t="shared" si="29"/>
        <v>0</v>
      </c>
      <c r="O43" s="175">
        <f t="shared" si="27"/>
        <v>4416</v>
      </c>
      <c r="P43" s="205">
        <f t="shared" si="29"/>
        <v>0.18343195266272189</v>
      </c>
      <c r="Q43" s="178">
        <f t="shared" si="28"/>
        <v>4388.5714285714284</v>
      </c>
      <c r="R43" s="206">
        <f t="shared" si="29"/>
        <v>0</v>
      </c>
      <c r="T43" s="202"/>
      <c r="U43" s="202"/>
    </row>
    <row r="44" spans="1:21" x14ac:dyDescent="0.25">
      <c r="A44" s="764"/>
      <c r="B44" s="193">
        <v>6</v>
      </c>
      <c r="C44" s="194">
        <f t="shared" si="19"/>
        <v>960</v>
      </c>
      <c r="D44" s="333">
        <f t="shared" si="20"/>
        <v>2192</v>
      </c>
      <c r="E44" s="179">
        <f t="shared" si="21"/>
        <v>1.1149088541666667</v>
      </c>
      <c r="F44" s="173">
        <f t="shared" si="22"/>
        <v>3216</v>
      </c>
      <c r="G44" s="179">
        <f t="shared" si="23"/>
        <v>1.6357421875000002</v>
      </c>
      <c r="H44" s="204">
        <f t="shared" si="24"/>
        <v>2194.2857142857142</v>
      </c>
      <c r="I44" s="179">
        <f t="shared" si="25"/>
        <v>1.1160714285714286</v>
      </c>
      <c r="J44" s="173" t="s">
        <v>0</v>
      </c>
      <c r="K44" s="178" t="s">
        <v>0</v>
      </c>
      <c r="L44" s="202"/>
      <c r="M44" s="175">
        <f t="shared" si="26"/>
        <v>2192</v>
      </c>
      <c r="N44" s="205">
        <f>(D44-M44)/D44</f>
        <v>0</v>
      </c>
      <c r="O44" s="175">
        <f t="shared" si="27"/>
        <v>2208</v>
      </c>
      <c r="P44" s="205">
        <f>(F44-O44)/F44</f>
        <v>0.31343283582089554</v>
      </c>
      <c r="Q44" s="178">
        <f t="shared" si="28"/>
        <v>2194.2857142857142</v>
      </c>
      <c r="R44" s="206">
        <f>(H44-Q44)/H44</f>
        <v>0</v>
      </c>
    </row>
    <row r="45" spans="1:21" x14ac:dyDescent="0.25">
      <c r="A45" s="201"/>
      <c r="C45" s="201"/>
      <c r="F45" s="161"/>
      <c r="G45" s="161"/>
      <c r="H45" s="161"/>
      <c r="I45" s="161"/>
      <c r="L45" s="202"/>
      <c r="M45" s="203"/>
      <c r="N45" s="202"/>
      <c r="O45" s="203"/>
      <c r="P45" s="202"/>
      <c r="Q45" s="203"/>
      <c r="R45" s="202"/>
    </row>
    <row r="46" spans="1:21" x14ac:dyDescent="0.25">
      <c r="A46" s="201"/>
      <c r="C46" s="201"/>
      <c r="F46" s="161"/>
      <c r="G46" s="161"/>
      <c r="H46" s="161"/>
      <c r="I46" s="161"/>
      <c r="L46" s="202"/>
    </row>
    <row r="47" spans="1:21" x14ac:dyDescent="0.25">
      <c r="A47" s="159" t="s">
        <v>236</v>
      </c>
      <c r="C47" s="201"/>
      <c r="F47" s="161"/>
      <c r="G47" s="161"/>
      <c r="H47" s="161"/>
      <c r="I47" s="161"/>
      <c r="L47" s="202"/>
    </row>
    <row r="48" spans="1:21" ht="15" customHeight="1" x14ac:dyDescent="0.25">
      <c r="A48" s="765" t="s">
        <v>237</v>
      </c>
      <c r="B48" s="773" t="s">
        <v>347</v>
      </c>
      <c r="C48" s="776" t="s">
        <v>71</v>
      </c>
      <c r="D48" s="770" t="s">
        <v>229</v>
      </c>
      <c r="E48" s="770"/>
      <c r="F48" s="770"/>
      <c r="G48" s="770"/>
      <c r="H48" s="770"/>
      <c r="I48" s="770"/>
      <c r="J48" s="770"/>
      <c r="K48" s="765"/>
      <c r="M48" s="780" t="s">
        <v>228</v>
      </c>
      <c r="N48" s="765"/>
    </row>
    <row r="49" spans="1:15" ht="15.75" customHeight="1" x14ac:dyDescent="0.25">
      <c r="A49" s="765"/>
      <c r="B49" s="767"/>
      <c r="C49" s="777"/>
      <c r="D49" s="770" t="s">
        <v>230</v>
      </c>
      <c r="E49" s="765"/>
      <c r="F49" s="780" t="s">
        <v>231</v>
      </c>
      <c r="G49" s="765"/>
      <c r="H49" s="780" t="s">
        <v>232</v>
      </c>
      <c r="I49" s="765"/>
      <c r="J49" s="780" t="s">
        <v>233</v>
      </c>
      <c r="K49" s="765"/>
      <c r="M49" s="185"/>
      <c r="N49" s="186"/>
    </row>
    <row r="50" spans="1:15" ht="13.5" thickBot="1" x14ac:dyDescent="0.3">
      <c r="A50" s="766"/>
      <c r="B50" s="774"/>
      <c r="C50" s="778"/>
      <c r="D50" s="273" t="s">
        <v>128</v>
      </c>
      <c r="E50" s="188" t="s">
        <v>240</v>
      </c>
      <c r="F50" s="187" t="s">
        <v>128</v>
      </c>
      <c r="G50" s="188" t="s">
        <v>240</v>
      </c>
      <c r="H50" s="187" t="s">
        <v>128</v>
      </c>
      <c r="I50" s="188" t="s">
        <v>240</v>
      </c>
      <c r="J50" s="187" t="s">
        <v>128</v>
      </c>
      <c r="K50" s="188" t="s">
        <v>240</v>
      </c>
      <c r="M50" s="187" t="s">
        <v>128</v>
      </c>
      <c r="N50" s="188" t="s">
        <v>240</v>
      </c>
    </row>
    <row r="51" spans="1:15" ht="13.5" thickTop="1" x14ac:dyDescent="0.25">
      <c r="A51" s="762" t="s">
        <v>48</v>
      </c>
      <c r="B51" s="189">
        <v>0</v>
      </c>
      <c r="C51" s="190">
        <f t="shared" ref="C51:C57" si="30">15*2^B51</f>
        <v>15</v>
      </c>
      <c r="D51" s="333">
        <f>14*D26+12*F26+2*H26</f>
        <v>1966080</v>
      </c>
      <c r="E51" s="173">
        <f>D51*$G$71</f>
        <v>1000.0000000000001</v>
      </c>
      <c r="F51" s="173" t="s">
        <v>0</v>
      </c>
      <c r="G51" s="173" t="s">
        <v>0</v>
      </c>
      <c r="H51" s="173" t="s">
        <v>0</v>
      </c>
      <c r="I51" s="173" t="s">
        <v>0</v>
      </c>
      <c r="J51" s="173" t="s">
        <v>0</v>
      </c>
      <c r="K51" s="173" t="s">
        <v>0</v>
      </c>
      <c r="M51" s="173">
        <f>D51</f>
        <v>1966080</v>
      </c>
      <c r="N51" s="173">
        <f>M51*$G$71</f>
        <v>1000.0000000000001</v>
      </c>
      <c r="O51" s="161" t="s">
        <v>139</v>
      </c>
    </row>
    <row r="52" spans="1:15" x14ac:dyDescent="0.25">
      <c r="A52" s="764"/>
      <c r="B52" s="193">
        <v>1</v>
      </c>
      <c r="C52" s="194">
        <f t="shared" si="30"/>
        <v>30</v>
      </c>
      <c r="D52" s="334">
        <f>14*D27+12*F27+2*H27</f>
        <v>984064</v>
      </c>
      <c r="E52" s="175">
        <f>D52*$G$71</f>
        <v>500.52083333333337</v>
      </c>
      <c r="F52" s="169">
        <f>14*D27+13*F27+H27</f>
        <v>983040</v>
      </c>
      <c r="G52" s="175">
        <f>F52*$G$71</f>
        <v>500.00000000000006</v>
      </c>
      <c r="H52" s="173" t="s">
        <v>0</v>
      </c>
      <c r="I52" s="173" t="s">
        <v>0</v>
      </c>
      <c r="J52" s="173" t="s">
        <v>0</v>
      </c>
      <c r="K52" s="173" t="s">
        <v>0</v>
      </c>
      <c r="M52" s="169">
        <f>2*F52</f>
        <v>1966080</v>
      </c>
      <c r="N52" s="173">
        <f>M52*$G$71</f>
        <v>1000.0000000000001</v>
      </c>
      <c r="O52" s="161" t="s">
        <v>139</v>
      </c>
    </row>
    <row r="53" spans="1:15" x14ac:dyDescent="0.25">
      <c r="A53" s="193" t="s">
        <v>245</v>
      </c>
      <c r="B53" s="193">
        <v>2</v>
      </c>
      <c r="C53" s="194">
        <f t="shared" si="30"/>
        <v>60</v>
      </c>
      <c r="D53" s="334">
        <f>14*D28+12*F28+2*H28</f>
        <v>493056</v>
      </c>
      <c r="E53" s="175">
        <f>D53*$G$71</f>
        <v>250.78125000000003</v>
      </c>
      <c r="F53" s="169">
        <f>14*D28+13*F28+H28</f>
        <v>492032</v>
      </c>
      <c r="G53" s="175">
        <f>F53*$G$71</f>
        <v>250.26041666666669</v>
      </c>
      <c r="H53" s="169">
        <f>14*(D28+F28)</f>
        <v>491008</v>
      </c>
      <c r="I53" s="175">
        <f>H53*$G$71</f>
        <v>249.73958333333334</v>
      </c>
      <c r="J53" s="173">
        <f>12*(D28+J28)</f>
        <v>491520</v>
      </c>
      <c r="K53" s="204">
        <f>J53*$G$71</f>
        <v>250.00000000000003</v>
      </c>
      <c r="M53" s="169">
        <f>(2^B53-2)*H53+2*F53</f>
        <v>1966080</v>
      </c>
      <c r="N53" s="173">
        <f>M53*$G$71</f>
        <v>1000.0000000000001</v>
      </c>
      <c r="O53" s="161" t="s">
        <v>140</v>
      </c>
    </row>
    <row r="54" spans="1:15" x14ac:dyDescent="0.25">
      <c r="A54" s="193" t="s">
        <v>246</v>
      </c>
      <c r="B54" s="193">
        <v>3</v>
      </c>
      <c r="C54" s="194">
        <f t="shared" si="30"/>
        <v>120</v>
      </c>
      <c r="D54" s="334">
        <f>14*D29+12*F29+2*H29</f>
        <v>247552</v>
      </c>
      <c r="E54" s="175">
        <f>D54*$G$71</f>
        <v>125.91145833333334</v>
      </c>
      <c r="F54" s="169">
        <f>14*D29+13*F29+H29</f>
        <v>246528</v>
      </c>
      <c r="G54" s="175">
        <f>F54*$G$71</f>
        <v>125.39062500000001</v>
      </c>
      <c r="H54" s="169">
        <f>14*(D29+F29)</f>
        <v>245504</v>
      </c>
      <c r="I54" s="175">
        <f>H54*$G$71</f>
        <v>124.86979166666667</v>
      </c>
      <c r="J54" s="173" t="s">
        <v>0</v>
      </c>
      <c r="K54" s="178" t="s">
        <v>0</v>
      </c>
      <c r="M54" s="169">
        <f>(2^B54-2)*H54+2*F54</f>
        <v>1966080</v>
      </c>
      <c r="N54" s="173">
        <f>M54*$G$71</f>
        <v>1000.0000000000001</v>
      </c>
      <c r="O54" s="161" t="s">
        <v>140</v>
      </c>
    </row>
    <row r="55" spans="1:15" x14ac:dyDescent="0.25">
      <c r="A55" s="762" t="s">
        <v>247</v>
      </c>
      <c r="B55" s="193">
        <v>4</v>
      </c>
      <c r="C55" s="194">
        <f t="shared" si="30"/>
        <v>240</v>
      </c>
      <c r="D55" s="337" t="s">
        <v>0</v>
      </c>
      <c r="E55" s="208" t="s">
        <v>0</v>
      </c>
      <c r="F55" s="208" t="s">
        <v>0</v>
      </c>
      <c r="G55" s="208" t="s">
        <v>0</v>
      </c>
      <c r="H55" s="208" t="s">
        <v>0</v>
      </c>
      <c r="I55" s="209" t="s">
        <v>0</v>
      </c>
      <c r="J55" s="208" t="s">
        <v>0</v>
      </c>
      <c r="K55" s="209" t="s">
        <v>0</v>
      </c>
      <c r="M55" s="208" t="s">
        <v>0</v>
      </c>
      <c r="N55" s="209" t="s">
        <v>0</v>
      </c>
      <c r="O55" s="161" t="s">
        <v>219</v>
      </c>
    </row>
    <row r="56" spans="1:15" x14ac:dyDescent="0.25">
      <c r="A56" s="763"/>
      <c r="B56" s="193">
        <v>5</v>
      </c>
      <c r="C56" s="194">
        <f t="shared" si="30"/>
        <v>480</v>
      </c>
      <c r="D56" s="334">
        <f>14*D31+12*F31+2*H31</f>
        <v>63424</v>
      </c>
      <c r="E56" s="178">
        <f>D56*$G$71</f>
        <v>32.259114583333336</v>
      </c>
      <c r="F56" s="169">
        <f>14*D31+13*F31+H31</f>
        <v>62400</v>
      </c>
      <c r="G56" s="178">
        <f>F56*$G$71</f>
        <v>31.738281250000004</v>
      </c>
      <c r="H56" s="169">
        <f>14*(D31+F31)</f>
        <v>61376</v>
      </c>
      <c r="I56" s="178">
        <f>H56*$G$71</f>
        <v>31.217447916666668</v>
      </c>
      <c r="J56" s="173" t="s">
        <v>0</v>
      </c>
      <c r="K56" s="178" t="s">
        <v>0</v>
      </c>
      <c r="M56" s="169">
        <f>(2^B56-2)*H56+2*F56</f>
        <v>1966080</v>
      </c>
      <c r="N56" s="173">
        <f>M56*$G$71</f>
        <v>1000.0000000000001</v>
      </c>
      <c r="O56" s="161" t="s">
        <v>140</v>
      </c>
    </row>
    <row r="57" spans="1:15" x14ac:dyDescent="0.25">
      <c r="A57" s="764"/>
      <c r="B57" s="193">
        <v>6</v>
      </c>
      <c r="C57" s="194">
        <f t="shared" si="30"/>
        <v>960</v>
      </c>
      <c r="D57" s="334">
        <f>14*D32+12*F32+2*H32</f>
        <v>32736</v>
      </c>
      <c r="E57" s="178">
        <f>D57*$G$71</f>
        <v>16.650390625</v>
      </c>
      <c r="F57" s="169">
        <f>14*D32+13*F32+H32</f>
        <v>31712</v>
      </c>
      <c r="G57" s="178">
        <f>F57*$G$71</f>
        <v>16.129557291666668</v>
      </c>
      <c r="H57" s="169">
        <f>14*(D32+F32)</f>
        <v>30688</v>
      </c>
      <c r="I57" s="178">
        <f>H57*$G$71</f>
        <v>15.608723958333334</v>
      </c>
      <c r="J57" s="173" t="s">
        <v>0</v>
      </c>
      <c r="K57" s="178" t="s">
        <v>0</v>
      </c>
      <c r="M57" s="169">
        <f>(2^B57-2)*H57+2*F57</f>
        <v>1966080</v>
      </c>
      <c r="N57" s="173">
        <f>M57*$G$71</f>
        <v>1000.0000000000001</v>
      </c>
      <c r="O57" s="161" t="s">
        <v>140</v>
      </c>
    </row>
    <row r="58" spans="1:15" x14ac:dyDescent="0.25">
      <c r="A58" s="201"/>
      <c r="B58" s="201"/>
      <c r="D58" s="202"/>
      <c r="E58" s="203"/>
      <c r="F58" s="202"/>
      <c r="G58" s="203"/>
      <c r="H58" s="202"/>
      <c r="I58" s="203"/>
      <c r="J58" s="202"/>
      <c r="K58" s="202"/>
    </row>
    <row r="59" spans="1:15" ht="54" x14ac:dyDescent="0.25">
      <c r="A59" s="87" t="s">
        <v>237</v>
      </c>
      <c r="B59" s="87" t="s">
        <v>347</v>
      </c>
      <c r="C59" s="340" t="s">
        <v>340</v>
      </c>
      <c r="D59" s="338" t="s">
        <v>350</v>
      </c>
      <c r="E59" s="87" t="s">
        <v>349</v>
      </c>
      <c r="F59" s="87" t="s">
        <v>146</v>
      </c>
      <c r="G59" s="87" t="s">
        <v>147</v>
      </c>
    </row>
    <row r="60" spans="1:15" x14ac:dyDescent="0.25">
      <c r="A60" s="767" t="s">
        <v>48</v>
      </c>
      <c r="B60" s="87">
        <v>0</v>
      </c>
      <c r="C60" s="340">
        <v>15</v>
      </c>
      <c r="D60" s="339">
        <f>2^B60</f>
        <v>1</v>
      </c>
      <c r="E60" s="769">
        <v>14</v>
      </c>
      <c r="F60" s="88">
        <f>14*D60</f>
        <v>14</v>
      </c>
      <c r="G60" s="88">
        <f>F60*960/C60</f>
        <v>896</v>
      </c>
      <c r="I60" s="172"/>
    </row>
    <row r="61" spans="1:15" x14ac:dyDescent="0.25">
      <c r="A61" s="768"/>
      <c r="B61" s="87">
        <v>1</v>
      </c>
      <c r="C61" s="340">
        <v>30</v>
      </c>
      <c r="D61" s="339">
        <f>2^B61</f>
        <v>2</v>
      </c>
      <c r="E61" s="769"/>
      <c r="F61" s="88">
        <f t="shared" ref="F61:F66" si="31">14*D61</f>
        <v>28</v>
      </c>
      <c r="G61" s="88">
        <f>F61*960/C61</f>
        <v>896</v>
      </c>
    </row>
    <row r="62" spans="1:15" x14ac:dyDescent="0.25">
      <c r="A62" s="184" t="s">
        <v>245</v>
      </c>
      <c r="B62" s="87" t="s">
        <v>143</v>
      </c>
      <c r="C62" s="340" t="s">
        <v>142</v>
      </c>
      <c r="D62" s="339">
        <v>4</v>
      </c>
      <c r="E62" s="769"/>
      <c r="F62" s="88">
        <f t="shared" si="31"/>
        <v>56</v>
      </c>
      <c r="G62" s="88">
        <v>896</v>
      </c>
    </row>
    <row r="63" spans="1:15" x14ac:dyDescent="0.25">
      <c r="A63" s="193" t="s">
        <v>246</v>
      </c>
      <c r="B63" s="87">
        <v>3</v>
      </c>
      <c r="C63" s="340">
        <v>120</v>
      </c>
      <c r="D63" s="339">
        <f>2^B63</f>
        <v>8</v>
      </c>
      <c r="E63" s="769"/>
      <c r="F63" s="88">
        <f t="shared" si="31"/>
        <v>112</v>
      </c>
      <c r="G63" s="88">
        <f>F63*960/C63</f>
        <v>896</v>
      </c>
    </row>
    <row r="64" spans="1:15" x14ac:dyDescent="0.25">
      <c r="A64" s="762" t="s">
        <v>247</v>
      </c>
      <c r="B64" s="87">
        <v>4</v>
      </c>
      <c r="C64" s="340">
        <v>240</v>
      </c>
      <c r="D64" s="339">
        <f>2^B64</f>
        <v>16</v>
      </c>
      <c r="E64" s="769"/>
      <c r="F64" s="88">
        <f t="shared" si="31"/>
        <v>224</v>
      </c>
      <c r="G64" s="88">
        <f>F64*960/C64</f>
        <v>896</v>
      </c>
    </row>
    <row r="65" spans="1:10" x14ac:dyDescent="0.25">
      <c r="A65" s="763"/>
      <c r="B65" s="87">
        <v>5</v>
      </c>
      <c r="C65" s="340">
        <v>480</v>
      </c>
      <c r="D65" s="339">
        <f>2^B65</f>
        <v>32</v>
      </c>
      <c r="E65" s="769"/>
      <c r="F65" s="88">
        <f t="shared" si="31"/>
        <v>448</v>
      </c>
      <c r="G65" s="88">
        <f>F65*960/C65</f>
        <v>896</v>
      </c>
    </row>
    <row r="66" spans="1:10" x14ac:dyDescent="0.25">
      <c r="A66" s="764"/>
      <c r="B66" s="87">
        <v>6</v>
      </c>
      <c r="C66" s="340">
        <v>960</v>
      </c>
      <c r="D66" s="339">
        <f>2^B66</f>
        <v>64</v>
      </c>
      <c r="E66" s="769"/>
      <c r="F66" s="88">
        <f t="shared" si="31"/>
        <v>896</v>
      </c>
      <c r="G66" s="88">
        <f>F66*960/C66</f>
        <v>896</v>
      </c>
    </row>
    <row r="67" spans="1:10" ht="13.5" x14ac:dyDescent="0.25">
      <c r="A67" s="184" t="s">
        <v>245</v>
      </c>
      <c r="B67" s="87" t="s">
        <v>145</v>
      </c>
      <c r="C67" s="340" t="s">
        <v>144</v>
      </c>
      <c r="D67" s="339">
        <v>4</v>
      </c>
      <c r="E67" s="89">
        <v>12</v>
      </c>
      <c r="F67" s="90">
        <f>D67*E67</f>
        <v>48</v>
      </c>
      <c r="G67" s="90">
        <f>48*960/60</f>
        <v>768</v>
      </c>
    </row>
    <row r="68" spans="1:10" ht="13.5" x14ac:dyDescent="0.25">
      <c r="A68" s="216"/>
      <c r="B68" s="216"/>
      <c r="C68" s="84"/>
      <c r="D68" s="84"/>
      <c r="E68" s="85"/>
      <c r="F68" s="86"/>
      <c r="G68" s="210"/>
    </row>
    <row r="69" spans="1:10" x14ac:dyDescent="0.25">
      <c r="A69" s="164" t="s">
        <v>51</v>
      </c>
      <c r="F69" s="161"/>
      <c r="G69" s="161"/>
      <c r="H69" s="161"/>
      <c r="I69" s="161"/>
    </row>
    <row r="70" spans="1:10" ht="25.5" x14ac:dyDescent="0.25">
      <c r="B70" s="161"/>
      <c r="C70" s="165" t="s">
        <v>136</v>
      </c>
      <c r="D70" s="165" t="s">
        <v>137</v>
      </c>
      <c r="E70" s="165" t="s">
        <v>84</v>
      </c>
      <c r="F70" s="165" t="s">
        <v>85</v>
      </c>
      <c r="G70" s="165" t="s">
        <v>88</v>
      </c>
      <c r="H70" s="165" t="s">
        <v>135</v>
      </c>
      <c r="I70" s="165" t="s">
        <v>86</v>
      </c>
      <c r="J70" s="160"/>
    </row>
    <row r="71" spans="1:10" x14ac:dyDescent="0.2">
      <c r="A71" s="211" t="s">
        <v>5</v>
      </c>
      <c r="B71" s="167" t="s">
        <v>50</v>
      </c>
      <c r="C71" s="169">
        <v>480000</v>
      </c>
      <c r="D71" s="169">
        <v>4096</v>
      </c>
      <c r="E71" s="212">
        <f>1/(C71*D71)</f>
        <v>5.0862630208333336E-10</v>
      </c>
      <c r="F71" s="172">
        <f>E71*1000</f>
        <v>5.0862630208333333E-7</v>
      </c>
      <c r="G71" s="213">
        <f>F71*1000</f>
        <v>5.0862630208333337E-4</v>
      </c>
      <c r="H71" s="179">
        <f>G71*1000</f>
        <v>0.50862630208333337</v>
      </c>
      <c r="I71" s="175">
        <f>H71*1000</f>
        <v>508.62630208333337</v>
      </c>
      <c r="J71" s="214" t="s">
        <v>54</v>
      </c>
    </row>
    <row r="72" spans="1:10" x14ac:dyDescent="0.2">
      <c r="A72" s="211" t="s">
        <v>7</v>
      </c>
      <c r="B72" s="167" t="s">
        <v>52</v>
      </c>
      <c r="C72" s="169">
        <v>15000</v>
      </c>
      <c r="D72" s="169">
        <v>2048</v>
      </c>
      <c r="E72" s="212">
        <f>1/(C72*D72)</f>
        <v>3.2552083333333335E-8</v>
      </c>
      <c r="F72" s="172">
        <f t="shared" ref="F72:I72" si="32">E72*1000</f>
        <v>3.2552083333333333E-5</v>
      </c>
      <c r="G72" s="213">
        <f t="shared" si="32"/>
        <v>3.2552083333333336E-2</v>
      </c>
      <c r="H72" s="179">
        <f t="shared" si="32"/>
        <v>32.552083333333336</v>
      </c>
      <c r="I72" s="175">
        <f t="shared" si="32"/>
        <v>32552.083333333336</v>
      </c>
      <c r="J72" s="214" t="s">
        <v>55</v>
      </c>
    </row>
    <row r="73" spans="1:10" x14ac:dyDescent="0.25">
      <c r="A73" s="211" t="s">
        <v>134</v>
      </c>
      <c r="B73" s="166" t="s">
        <v>53</v>
      </c>
      <c r="C73" s="195">
        <f>I72/I71</f>
        <v>64</v>
      </c>
    </row>
    <row r="76" spans="1:10" ht="25.5" x14ac:dyDescent="0.25">
      <c r="A76" s="265" t="s">
        <v>305</v>
      </c>
      <c r="B76" s="266">
        <f>1000000/300000</f>
        <v>3.3333333333333335</v>
      </c>
    </row>
    <row r="77" spans="1:10" x14ac:dyDescent="0.25">
      <c r="A77" s="211" t="s">
        <v>306</v>
      </c>
      <c r="B77" s="166" t="s">
        <v>307</v>
      </c>
    </row>
    <row r="78" spans="1:10" x14ac:dyDescent="0.25">
      <c r="A78" s="169">
        <v>10</v>
      </c>
      <c r="B78" s="171">
        <f>A78/1000*B$76</f>
        <v>3.3333333333333333E-2</v>
      </c>
    </row>
    <row r="79" spans="1:10" x14ac:dyDescent="0.25">
      <c r="A79" s="169">
        <v>100</v>
      </c>
      <c r="B79" s="171">
        <f t="shared" ref="B79:B82" si="33">A79/1000*B$76</f>
        <v>0.33333333333333337</v>
      </c>
    </row>
    <row r="80" spans="1:10" x14ac:dyDescent="0.25">
      <c r="A80" s="169">
        <v>1000</v>
      </c>
      <c r="B80" s="171">
        <f t="shared" si="33"/>
        <v>3.3333333333333335</v>
      </c>
    </row>
    <row r="81" spans="1:5" x14ac:dyDescent="0.25">
      <c r="A81" s="169">
        <v>10000</v>
      </c>
      <c r="B81" s="171">
        <f t="shared" si="33"/>
        <v>33.333333333333336</v>
      </c>
    </row>
    <row r="82" spans="1:5" x14ac:dyDescent="0.25">
      <c r="A82" s="169">
        <v>100000</v>
      </c>
      <c r="B82" s="168">
        <f t="shared" si="33"/>
        <v>333.33333333333337</v>
      </c>
    </row>
    <row r="84" spans="1:5" x14ac:dyDescent="0.25">
      <c r="A84" s="164" t="s">
        <v>308</v>
      </c>
    </row>
    <row r="85" spans="1:5" ht="15.95" customHeight="1" thickBot="1" x14ac:dyDescent="0.3">
      <c r="A85" s="164"/>
      <c r="B85" s="759" t="s">
        <v>48</v>
      </c>
      <c r="C85" s="760"/>
      <c r="D85" s="761" t="s">
        <v>49</v>
      </c>
      <c r="E85" s="760"/>
    </row>
    <row r="86" spans="1:5" ht="26.25" thickTop="1" x14ac:dyDescent="0.25">
      <c r="A86" s="317" t="s">
        <v>309</v>
      </c>
      <c r="B86" s="318" t="s">
        <v>344</v>
      </c>
      <c r="C86" s="319" t="s">
        <v>152</v>
      </c>
      <c r="D86" s="319" t="s">
        <v>344</v>
      </c>
      <c r="E86" s="319" t="s">
        <v>152</v>
      </c>
    </row>
    <row r="87" spans="1:5" ht="14.25" x14ac:dyDescent="0.25">
      <c r="A87" s="320" t="s">
        <v>345</v>
      </c>
      <c r="B87" s="321">
        <v>25600</v>
      </c>
      <c r="C87" s="322">
        <f>B87*$G$71</f>
        <v>13.020833333333334</v>
      </c>
      <c r="D87" s="322">
        <v>13792</v>
      </c>
      <c r="E87" s="322">
        <f>D87*$G$71</f>
        <v>7.0149739583333339</v>
      </c>
    </row>
    <row r="88" spans="1:5" ht="14.25" x14ac:dyDescent="0.25">
      <c r="A88" s="320" t="s">
        <v>346</v>
      </c>
      <c r="B88" s="321">
        <v>25600</v>
      </c>
      <c r="C88" s="322">
        <f>B88*$G$71</f>
        <v>13.020833333333334</v>
      </c>
      <c r="D88" s="322">
        <v>13792</v>
      </c>
      <c r="E88" s="322">
        <f>D88*$G$71</f>
        <v>7.0149739583333339</v>
      </c>
    </row>
  </sheetData>
  <mergeCells count="52">
    <mergeCell ref="F49:G49"/>
    <mergeCell ref="H49:I49"/>
    <mergeCell ref="J49:K49"/>
    <mergeCell ref="M5:P5"/>
    <mergeCell ref="C5:D5"/>
    <mergeCell ref="I5:L5"/>
    <mergeCell ref="E5:H5"/>
    <mergeCell ref="L23:L25"/>
    <mergeCell ref="G11:K11"/>
    <mergeCell ref="H24:I24"/>
    <mergeCell ref="F23:I23"/>
    <mergeCell ref="J23:K24"/>
    <mergeCell ref="L11:P11"/>
    <mergeCell ref="Q11:U11"/>
    <mergeCell ref="C48:C50"/>
    <mergeCell ref="A11:C11"/>
    <mergeCell ref="E11:F11"/>
    <mergeCell ref="B23:B25"/>
    <mergeCell ref="A23:A25"/>
    <mergeCell ref="C23:C25"/>
    <mergeCell ref="M48:N48"/>
    <mergeCell ref="B48:B50"/>
    <mergeCell ref="A48:A50"/>
    <mergeCell ref="D23:E24"/>
    <mergeCell ref="F24:G24"/>
    <mergeCell ref="C35:C37"/>
    <mergeCell ref="M35:R35"/>
    <mergeCell ref="M36:N36"/>
    <mergeCell ref="O36:P36"/>
    <mergeCell ref="Q36:R36"/>
    <mergeCell ref="B35:B37"/>
    <mergeCell ref="D36:E36"/>
    <mergeCell ref="F36:G36"/>
    <mergeCell ref="J36:K36"/>
    <mergeCell ref="H36:I36"/>
    <mergeCell ref="D35:K35"/>
    <mergeCell ref="B85:C85"/>
    <mergeCell ref="D85:E85"/>
    <mergeCell ref="A64:A66"/>
    <mergeCell ref="A13:A14"/>
    <mergeCell ref="A17:A19"/>
    <mergeCell ref="A30:A32"/>
    <mergeCell ref="A42:A44"/>
    <mergeCell ref="A55:A57"/>
    <mergeCell ref="A26:A27"/>
    <mergeCell ref="A38:A39"/>
    <mergeCell ref="A51:A52"/>
    <mergeCell ref="A35:A37"/>
    <mergeCell ref="A60:A61"/>
    <mergeCell ref="E60:E66"/>
    <mergeCell ref="D48:K48"/>
    <mergeCell ref="D49:E49"/>
  </mergeCells>
  <phoneticPr fontId="9" type="noConversion"/>
  <hyperlinks>
    <hyperlink ref="E2" r:id="rId1" xr:uid="{0CF5938C-3540-477B-997A-FA6DC2078A6C}"/>
  </hyperlinks>
  <pageMargins left="0.7" right="0.7" top="0.75" bottom="0.75" header="0.3" footer="0.3"/>
  <pageSetup paperSize="9" orientation="portrait" horizontalDpi="4294967293" verticalDpi="300"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30A3D-E313-482E-B064-9685C3BAE3D4}">
  <dimension ref="A1:J22"/>
  <sheetViews>
    <sheetView workbookViewId="0">
      <selection activeCell="F30" sqref="F30"/>
    </sheetView>
  </sheetViews>
  <sheetFormatPr baseColWidth="10" defaultColWidth="11.42578125" defaultRowHeight="15" x14ac:dyDescent="0.25"/>
  <cols>
    <col min="1" max="1" width="24.5703125" style="17" customWidth="1"/>
    <col min="2" max="2" width="13.7109375" style="17" customWidth="1"/>
    <col min="3" max="3" width="8.85546875" style="17" customWidth="1"/>
    <col min="4" max="8" width="11.42578125" style="17"/>
    <col min="9" max="9" width="8.85546875" style="17" customWidth="1"/>
    <col min="10" max="16384" width="11.42578125" style="17"/>
  </cols>
  <sheetData>
    <row r="1" spans="1:10" x14ac:dyDescent="0.25">
      <c r="A1" s="17" t="s">
        <v>34</v>
      </c>
    </row>
    <row r="3" spans="1:10" x14ac:dyDescent="0.25">
      <c r="A3" s="17" t="s">
        <v>33</v>
      </c>
      <c r="C3" s="17" t="s">
        <v>31</v>
      </c>
    </row>
    <row r="4" spans="1:10" x14ac:dyDescent="0.25">
      <c r="A4" s="17" t="s">
        <v>32</v>
      </c>
      <c r="B4" s="22">
        <v>40</v>
      </c>
      <c r="C4" s="17" t="s">
        <v>31</v>
      </c>
      <c r="D4" s="17" t="s">
        <v>30</v>
      </c>
    </row>
    <row r="6" spans="1:10" x14ac:dyDescent="0.25">
      <c r="A6" s="17" t="s">
        <v>29</v>
      </c>
      <c r="B6" s="22">
        <v>6144</v>
      </c>
      <c r="C6" s="17" t="s">
        <v>31</v>
      </c>
      <c r="D6" s="17" t="s">
        <v>30</v>
      </c>
    </row>
    <row r="7" spans="1:10" x14ac:dyDescent="0.25">
      <c r="A7" s="17" t="s">
        <v>29</v>
      </c>
      <c r="B7" s="22">
        <f>B6/8</f>
        <v>768</v>
      </c>
      <c r="C7" s="17" t="s">
        <v>26</v>
      </c>
      <c r="D7" s="17" t="s">
        <v>28</v>
      </c>
    </row>
    <row r="8" spans="1:10" x14ac:dyDescent="0.25">
      <c r="A8" s="17" t="s">
        <v>27</v>
      </c>
      <c r="B8" s="22">
        <v>3</v>
      </c>
      <c r="C8" s="17" t="s">
        <v>26</v>
      </c>
      <c r="D8" s="17" t="s">
        <v>25</v>
      </c>
    </row>
    <row r="10" spans="1:10" x14ac:dyDescent="0.25">
      <c r="A10" s="17" t="s">
        <v>24</v>
      </c>
    </row>
    <row r="12" spans="1:10" x14ac:dyDescent="0.25">
      <c r="A12" s="21" t="s">
        <v>23</v>
      </c>
    </row>
    <row r="13" spans="1:10" ht="45" x14ac:dyDescent="0.25">
      <c r="B13" s="19" t="s">
        <v>352</v>
      </c>
      <c r="C13" s="19" t="s">
        <v>351</v>
      </c>
      <c r="D13" s="19" t="s">
        <v>353</v>
      </c>
      <c r="E13" s="20" t="s">
        <v>21</v>
      </c>
      <c r="F13" s="20" t="s">
        <v>8</v>
      </c>
      <c r="G13" s="19" t="s">
        <v>22</v>
      </c>
      <c r="H13" s="19" t="s">
        <v>354</v>
      </c>
      <c r="I13" s="19" t="s">
        <v>20</v>
      </c>
      <c r="J13" s="19" t="s">
        <v>355</v>
      </c>
    </row>
    <row r="14" spans="1:10" x14ac:dyDescent="0.25">
      <c r="A14" s="18" t="s">
        <v>18</v>
      </c>
      <c r="B14" s="23">
        <v>1.4</v>
      </c>
      <c r="C14" s="24">
        <v>15</v>
      </c>
      <c r="D14" s="7">
        <f t="shared" ref="D14:D22" si="0">15000/C14</f>
        <v>1000</v>
      </c>
      <c r="E14" s="24" t="s">
        <v>4</v>
      </c>
      <c r="F14" s="7">
        <f>IF(LEFT(E14,2)="QP",2,LOG(LEFT(E14,LEN(E14)-3),2))</f>
        <v>2</v>
      </c>
      <c r="G14" s="24">
        <v>14</v>
      </c>
      <c r="H14" s="7">
        <f t="shared" ref="H14:H22" si="1">B14*1000/C14*G14*F14/8</f>
        <v>326.66666666666663</v>
      </c>
      <c r="I14" s="24">
        <v>1</v>
      </c>
      <c r="J14" s="16">
        <f>8*H14*I14/D14</f>
        <v>2.6133333333333328</v>
      </c>
    </row>
    <row r="15" spans="1:10" x14ac:dyDescent="0.25">
      <c r="A15" s="18" t="s">
        <v>18</v>
      </c>
      <c r="B15" s="24">
        <v>3</v>
      </c>
      <c r="C15" s="24">
        <v>15</v>
      </c>
      <c r="D15" s="7">
        <f t="shared" si="0"/>
        <v>1000</v>
      </c>
      <c r="E15" s="24" t="s">
        <v>19</v>
      </c>
      <c r="F15" s="7">
        <f t="shared" ref="F15:F22" si="2">IF(LEFT(E15,2)="QP",2,LOG(LEFT(E15,LEN(E15)-3),2))</f>
        <v>4</v>
      </c>
      <c r="G15" s="24">
        <v>14</v>
      </c>
      <c r="H15" s="7">
        <f t="shared" si="1"/>
        <v>1400</v>
      </c>
      <c r="I15" s="24">
        <v>1</v>
      </c>
      <c r="J15" s="16">
        <f>8*H15*I15/D15</f>
        <v>11.2</v>
      </c>
    </row>
    <row r="16" spans="1:10" x14ac:dyDescent="0.25">
      <c r="A16" s="18" t="s">
        <v>18</v>
      </c>
      <c r="B16" s="24">
        <v>15</v>
      </c>
      <c r="C16" s="24">
        <v>15</v>
      </c>
      <c r="D16" s="7">
        <f t="shared" si="0"/>
        <v>1000</v>
      </c>
      <c r="E16" s="24" t="s">
        <v>17</v>
      </c>
      <c r="F16" s="7">
        <f t="shared" si="2"/>
        <v>6</v>
      </c>
      <c r="G16" s="24">
        <v>14</v>
      </c>
      <c r="H16" s="7">
        <f t="shared" si="1"/>
        <v>10500</v>
      </c>
      <c r="I16" s="24">
        <v>1</v>
      </c>
      <c r="J16" s="16">
        <f>8*H16*I16/D16</f>
        <v>84</v>
      </c>
    </row>
    <row r="17" spans="1:10" x14ac:dyDescent="0.25">
      <c r="A17" s="18" t="s">
        <v>16</v>
      </c>
      <c r="B17" s="24">
        <v>5</v>
      </c>
      <c r="C17" s="24">
        <v>15</v>
      </c>
      <c r="D17" s="7">
        <f t="shared" si="0"/>
        <v>1000</v>
      </c>
      <c r="E17" s="24" t="s">
        <v>4</v>
      </c>
      <c r="F17" s="7">
        <f t="shared" si="2"/>
        <v>2</v>
      </c>
      <c r="G17" s="24">
        <v>2</v>
      </c>
      <c r="H17" s="7">
        <f t="shared" si="1"/>
        <v>166.66666666666666</v>
      </c>
      <c r="I17" s="24">
        <v>1</v>
      </c>
      <c r="J17" s="16">
        <f t="shared" ref="J17:J22" si="3">8*H17*I17/D17</f>
        <v>1.3333333333333333</v>
      </c>
    </row>
    <row r="18" spans="1:10" x14ac:dyDescent="0.25">
      <c r="A18" s="18" t="s">
        <v>16</v>
      </c>
      <c r="B18" s="24">
        <v>5</v>
      </c>
      <c r="C18" s="24">
        <v>15</v>
      </c>
      <c r="D18" s="7">
        <f t="shared" si="0"/>
        <v>1000</v>
      </c>
      <c r="E18" s="24" t="s">
        <v>4</v>
      </c>
      <c r="F18" s="7">
        <f t="shared" si="2"/>
        <v>2</v>
      </c>
      <c r="G18" s="24">
        <v>14</v>
      </c>
      <c r="H18" s="7">
        <f t="shared" si="1"/>
        <v>1166.6666666666665</v>
      </c>
      <c r="I18" s="24">
        <v>1</v>
      </c>
      <c r="J18" s="16">
        <f t="shared" si="3"/>
        <v>9.3333333333333321</v>
      </c>
    </row>
    <row r="19" spans="1:10" x14ac:dyDescent="0.25">
      <c r="A19" s="18" t="s">
        <v>16</v>
      </c>
      <c r="B19" s="24">
        <v>5</v>
      </c>
      <c r="C19" s="24">
        <v>15</v>
      </c>
      <c r="D19" s="7">
        <f t="shared" si="0"/>
        <v>1000</v>
      </c>
      <c r="E19" s="24" t="s">
        <v>17</v>
      </c>
      <c r="F19" s="7">
        <f t="shared" si="2"/>
        <v>6</v>
      </c>
      <c r="G19" s="24">
        <v>14</v>
      </c>
      <c r="H19" s="7">
        <f t="shared" si="1"/>
        <v>3499.9999999999995</v>
      </c>
      <c r="I19" s="24">
        <v>1</v>
      </c>
      <c r="J19" s="16">
        <f t="shared" si="3"/>
        <v>27.999999999999996</v>
      </c>
    </row>
    <row r="20" spans="1:10" x14ac:dyDescent="0.25">
      <c r="A20" s="18" t="s">
        <v>16</v>
      </c>
      <c r="B20" s="24">
        <v>80</v>
      </c>
      <c r="C20" s="24">
        <v>15</v>
      </c>
      <c r="D20" s="7">
        <f t="shared" si="0"/>
        <v>1000</v>
      </c>
      <c r="E20" s="24" t="s">
        <v>17</v>
      </c>
      <c r="F20" s="7">
        <f t="shared" si="2"/>
        <v>6</v>
      </c>
      <c r="G20" s="24">
        <v>7</v>
      </c>
      <c r="H20" s="7">
        <f t="shared" si="1"/>
        <v>27999.999999999996</v>
      </c>
      <c r="I20" s="24">
        <v>2</v>
      </c>
      <c r="J20" s="16">
        <f t="shared" si="3"/>
        <v>447.99999999999994</v>
      </c>
    </row>
    <row r="21" spans="1:10" x14ac:dyDescent="0.25">
      <c r="A21" s="18" t="s">
        <v>16</v>
      </c>
      <c r="B21" s="24">
        <v>400</v>
      </c>
      <c r="C21" s="24">
        <v>60</v>
      </c>
      <c r="D21" s="7">
        <f t="shared" si="0"/>
        <v>250</v>
      </c>
      <c r="E21" s="24" t="s">
        <v>17</v>
      </c>
      <c r="F21" s="7">
        <f t="shared" si="2"/>
        <v>6</v>
      </c>
      <c r="G21" s="24">
        <v>7</v>
      </c>
      <c r="H21" s="7">
        <f t="shared" si="1"/>
        <v>35000</v>
      </c>
      <c r="I21" s="24">
        <v>2</v>
      </c>
      <c r="J21" s="16">
        <f t="shared" si="3"/>
        <v>2240</v>
      </c>
    </row>
    <row r="22" spans="1:10" x14ac:dyDescent="0.25">
      <c r="A22" s="18" t="s">
        <v>16</v>
      </c>
      <c r="B22" s="24">
        <v>400</v>
      </c>
      <c r="C22" s="24">
        <v>120</v>
      </c>
      <c r="D22" s="7">
        <f t="shared" si="0"/>
        <v>125</v>
      </c>
      <c r="E22" s="24" t="s">
        <v>15</v>
      </c>
      <c r="F22" s="7">
        <f t="shared" si="2"/>
        <v>10</v>
      </c>
      <c r="G22" s="24">
        <v>14</v>
      </c>
      <c r="H22" s="7">
        <f t="shared" si="1"/>
        <v>58333.333333333343</v>
      </c>
      <c r="I22" s="24">
        <v>4</v>
      </c>
      <c r="J22" s="16">
        <f t="shared" si="3"/>
        <v>14933.333333333336</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7E49E-E108-42A9-A551-D0145D824E8D}">
  <dimension ref="A1:I41"/>
  <sheetViews>
    <sheetView topLeftCell="A25" workbookViewId="0">
      <selection activeCell="G41" sqref="G41"/>
    </sheetView>
  </sheetViews>
  <sheetFormatPr baseColWidth="10" defaultRowHeight="15" x14ac:dyDescent="0.25"/>
  <cols>
    <col min="1" max="1" width="12.28515625" customWidth="1"/>
    <col min="2" max="2" width="11.85546875" customWidth="1"/>
    <col min="3" max="3" width="18.140625" customWidth="1"/>
    <col min="4" max="4" width="14" customWidth="1"/>
    <col min="5" max="5" width="18.85546875" customWidth="1"/>
  </cols>
  <sheetData>
    <row r="1" spans="1:5" ht="18.75" x14ac:dyDescent="0.3">
      <c r="A1" s="8" t="s">
        <v>272</v>
      </c>
    </row>
    <row r="2" spans="1:5" ht="18.75" x14ac:dyDescent="0.3">
      <c r="A2" s="8" t="s">
        <v>273</v>
      </c>
    </row>
    <row r="4" spans="1:5" x14ac:dyDescent="0.25">
      <c r="A4" s="10" t="str">
        <f>A1</f>
        <v>5G Minimum Channel Transmission Bandwidth required as a function of the SCS of the Synchronization Signal Block (SSB)</v>
      </c>
    </row>
    <row r="5" spans="1:5" ht="45" x14ac:dyDescent="0.25">
      <c r="A5" s="6" t="s">
        <v>103</v>
      </c>
      <c r="B5" s="6" t="s">
        <v>36</v>
      </c>
      <c r="C5" s="6" t="s">
        <v>270</v>
      </c>
      <c r="D5" s="27"/>
      <c r="E5" s="27"/>
    </row>
    <row r="6" spans="1:5" x14ac:dyDescent="0.25">
      <c r="A6" s="5">
        <v>15</v>
      </c>
      <c r="B6" s="96">
        <f>240</f>
        <v>240</v>
      </c>
      <c r="C6" s="5">
        <f t="shared" ref="C6:C10" si="0">B6*A6/1000</f>
        <v>3.6</v>
      </c>
      <c r="D6" s="28"/>
      <c r="E6" s="9"/>
    </row>
    <row r="7" spans="1:5" x14ac:dyDescent="0.25">
      <c r="A7" s="5">
        <f t="shared" ref="A7:A12" si="1">2*A6</f>
        <v>30</v>
      </c>
      <c r="B7" s="96">
        <f>240</f>
        <v>240</v>
      </c>
      <c r="C7" s="5">
        <f t="shared" si="0"/>
        <v>7.2</v>
      </c>
      <c r="D7" s="28"/>
      <c r="E7" s="9"/>
    </row>
    <row r="8" spans="1:5" x14ac:dyDescent="0.25">
      <c r="A8" s="5">
        <f t="shared" si="1"/>
        <v>60</v>
      </c>
      <c r="B8" s="96">
        <f>240</f>
        <v>240</v>
      </c>
      <c r="C8" s="5">
        <f t="shared" si="0"/>
        <v>14.4</v>
      </c>
      <c r="D8" s="28"/>
      <c r="E8" s="9"/>
    </row>
    <row r="9" spans="1:5" x14ac:dyDescent="0.25">
      <c r="A9" s="5">
        <f t="shared" si="1"/>
        <v>120</v>
      </c>
      <c r="B9" s="96">
        <f>240</f>
        <v>240</v>
      </c>
      <c r="C9" s="5">
        <f t="shared" si="0"/>
        <v>28.8</v>
      </c>
      <c r="D9" s="28"/>
      <c r="E9" s="9"/>
    </row>
    <row r="10" spans="1:5" x14ac:dyDescent="0.25">
      <c r="A10" s="5">
        <f t="shared" si="1"/>
        <v>240</v>
      </c>
      <c r="B10" s="96">
        <v>240</v>
      </c>
      <c r="C10" s="5">
        <f t="shared" si="0"/>
        <v>57.6</v>
      </c>
      <c r="D10" s="28"/>
      <c r="E10" s="9"/>
    </row>
    <row r="11" spans="1:5" x14ac:dyDescent="0.25">
      <c r="A11" s="5">
        <f t="shared" si="1"/>
        <v>480</v>
      </c>
      <c r="B11" s="96">
        <v>240</v>
      </c>
      <c r="C11" s="5">
        <f t="shared" ref="C11" si="2">B11*A11/1000</f>
        <v>115.2</v>
      </c>
      <c r="D11" s="28"/>
      <c r="E11" s="9"/>
    </row>
    <row r="12" spans="1:5" x14ac:dyDescent="0.25">
      <c r="A12" s="5">
        <f t="shared" si="1"/>
        <v>960</v>
      </c>
      <c r="B12" s="96">
        <v>240</v>
      </c>
      <c r="C12" s="5">
        <f t="shared" ref="C12" si="3">B12*A12/1000</f>
        <v>230.4</v>
      </c>
      <c r="D12" s="28"/>
      <c r="E12" s="9"/>
    </row>
    <row r="14" spans="1:5" x14ac:dyDescent="0.25">
      <c r="A14" s="10" t="str">
        <f>A2</f>
        <v>5G Maximum Channel Transmission Bandwidth supported as a function of the control/shared SCS (max# of FFT)</v>
      </c>
    </row>
    <row r="15" spans="1:5" ht="60" x14ac:dyDescent="0.25">
      <c r="A15" s="6" t="s">
        <v>102</v>
      </c>
      <c r="B15" s="6" t="s">
        <v>35</v>
      </c>
      <c r="C15" s="6" t="s">
        <v>271</v>
      </c>
    </row>
    <row r="16" spans="1:5" x14ac:dyDescent="0.25">
      <c r="A16" s="5">
        <v>15</v>
      </c>
      <c r="B16" s="235">
        <v>3300</v>
      </c>
      <c r="C16" s="236">
        <f>B16*A16/1000</f>
        <v>49.5</v>
      </c>
    </row>
    <row r="17" spans="1:9" x14ac:dyDescent="0.25">
      <c r="A17" s="5">
        <f t="shared" ref="A17:A22" si="4">2*A16</f>
        <v>30</v>
      </c>
      <c r="B17" s="235">
        <v>3300</v>
      </c>
      <c r="C17" s="236">
        <f>B17*A17/1000</f>
        <v>99</v>
      </c>
    </row>
    <row r="18" spans="1:9" x14ac:dyDescent="0.25">
      <c r="A18" s="5">
        <f t="shared" si="4"/>
        <v>60</v>
      </c>
      <c r="B18" s="235">
        <v>3300</v>
      </c>
      <c r="C18" s="236">
        <f>B18*A18/1000</f>
        <v>198</v>
      </c>
    </row>
    <row r="19" spans="1:9" x14ac:dyDescent="0.25">
      <c r="A19" s="5">
        <f t="shared" si="4"/>
        <v>120</v>
      </c>
      <c r="B19" s="235">
        <v>3300</v>
      </c>
      <c r="C19" s="236">
        <f>B19*A19/1000</f>
        <v>396</v>
      </c>
    </row>
    <row r="20" spans="1:9" x14ac:dyDescent="0.25">
      <c r="A20" s="25">
        <f t="shared" si="4"/>
        <v>240</v>
      </c>
      <c r="B20" s="26" t="s">
        <v>37</v>
      </c>
      <c r="C20" s="25"/>
      <c r="D20" s="29"/>
      <c r="E20" s="30"/>
    </row>
    <row r="21" spans="1:9" x14ac:dyDescent="0.25">
      <c r="A21" s="5">
        <f t="shared" si="4"/>
        <v>480</v>
      </c>
      <c r="B21" s="235">
        <v>3300</v>
      </c>
      <c r="C21" s="236">
        <f>B21*A21/1000</f>
        <v>1584</v>
      </c>
    </row>
    <row r="22" spans="1:9" x14ac:dyDescent="0.25">
      <c r="A22" s="5">
        <f t="shared" si="4"/>
        <v>960</v>
      </c>
      <c r="B22" s="235">
        <v>3300</v>
      </c>
      <c r="C22" s="236">
        <f>B22*A22/1000</f>
        <v>3168</v>
      </c>
    </row>
    <row r="24" spans="1:9" x14ac:dyDescent="0.25">
      <c r="A24" s="10" t="s">
        <v>274</v>
      </c>
    </row>
    <row r="25" spans="1:9" x14ac:dyDescent="0.25">
      <c r="A25" s="10" t="s">
        <v>275</v>
      </c>
    </row>
    <row r="27" spans="1:9" x14ac:dyDescent="0.25">
      <c r="A27" s="10" t="s">
        <v>279</v>
      </c>
    </row>
    <row r="28" spans="1:9" ht="60" x14ac:dyDescent="0.25">
      <c r="A28" s="6" t="s">
        <v>280</v>
      </c>
      <c r="B28" s="6" t="s">
        <v>71</v>
      </c>
      <c r="C28" s="6" t="s">
        <v>276</v>
      </c>
      <c r="D28" s="6" t="s">
        <v>277</v>
      </c>
      <c r="E28" s="6" t="s">
        <v>265</v>
      </c>
      <c r="F28" s="6" t="s">
        <v>264</v>
      </c>
      <c r="G28" s="6" t="s">
        <v>266</v>
      </c>
      <c r="H28" s="6" t="s">
        <v>267</v>
      </c>
      <c r="I28" s="6" t="s">
        <v>268</v>
      </c>
    </row>
    <row r="29" spans="1:9" x14ac:dyDescent="0.25">
      <c r="A29" s="881">
        <v>100</v>
      </c>
      <c r="B29" s="68">
        <v>30</v>
      </c>
      <c r="C29" s="234">
        <v>273</v>
      </c>
      <c r="D29" s="68" t="s">
        <v>0</v>
      </c>
      <c r="E29" s="68" t="s">
        <v>0</v>
      </c>
      <c r="F29" s="7">
        <f>(A$29*1000-B29*C29*12-B29)/2</f>
        <v>845</v>
      </c>
      <c r="G29" s="16">
        <f>F29/(12*B29)</f>
        <v>2.3472222222222223</v>
      </c>
      <c r="H29" s="7">
        <f>A$29*1000-(C29*12*B29+2*F29)</f>
        <v>30</v>
      </c>
      <c r="I29" s="7">
        <f>H29/B29</f>
        <v>1</v>
      </c>
    </row>
    <row r="30" spans="1:9" x14ac:dyDescent="0.25">
      <c r="A30" s="882"/>
      <c r="B30" s="68">
        <f>2*B29</f>
        <v>60</v>
      </c>
      <c r="C30" s="234">
        <v>135</v>
      </c>
      <c r="D30" s="68">
        <f>2*C30</f>
        <v>270</v>
      </c>
      <c r="E30" s="68">
        <f>C29-D30</f>
        <v>3</v>
      </c>
      <c r="F30" s="7">
        <f>(A$29*1000-B30*C30*12-B30)/2</f>
        <v>1370</v>
      </c>
      <c r="G30" s="16">
        <f>F30/(12*B30)</f>
        <v>1.9027777777777777</v>
      </c>
      <c r="H30" s="7">
        <f>A$29*1000-(C30*12*B30+2*F30)</f>
        <v>60</v>
      </c>
      <c r="I30" s="7">
        <f>H30/B30</f>
        <v>1</v>
      </c>
    </row>
    <row r="32" spans="1:9" x14ac:dyDescent="0.25">
      <c r="A32" s="10" t="s">
        <v>269</v>
      </c>
    </row>
    <row r="33" spans="1:9" ht="60" x14ac:dyDescent="0.25">
      <c r="A33" s="6" t="s">
        <v>278</v>
      </c>
      <c r="B33" s="6" t="s">
        <v>71</v>
      </c>
      <c r="C33" s="6" t="s">
        <v>276</v>
      </c>
      <c r="D33" s="6" t="s">
        <v>277</v>
      </c>
      <c r="E33" s="6" t="s">
        <v>265</v>
      </c>
      <c r="F33" s="6" t="s">
        <v>264</v>
      </c>
      <c r="G33" s="6" t="s">
        <v>266</v>
      </c>
      <c r="H33" s="6" t="s">
        <v>267</v>
      </c>
      <c r="I33" s="6" t="s">
        <v>268</v>
      </c>
    </row>
    <row r="34" spans="1:9" x14ac:dyDescent="0.25">
      <c r="A34" s="881">
        <v>100</v>
      </c>
      <c r="B34" s="68">
        <v>60</v>
      </c>
      <c r="C34" s="234">
        <v>132</v>
      </c>
      <c r="D34" s="68" t="s">
        <v>0</v>
      </c>
      <c r="E34" s="68" t="s">
        <v>0</v>
      </c>
      <c r="F34" s="7">
        <f>(A$34*1000-B34*C34*12-B34)/2</f>
        <v>2450</v>
      </c>
      <c r="G34" s="16">
        <f t="shared" ref="G34:G35" si="5">F34/(12*B34)</f>
        <v>3.4027777777777777</v>
      </c>
      <c r="H34" s="7">
        <f>A$34*1000-(C34*12*B34+2*F34)</f>
        <v>60</v>
      </c>
      <c r="I34" s="7">
        <f t="shared" ref="I34:I35" si="6">H34/B34</f>
        <v>1</v>
      </c>
    </row>
    <row r="35" spans="1:9" x14ac:dyDescent="0.25">
      <c r="A35" s="882"/>
      <c r="B35" s="68">
        <f>2*B34</f>
        <v>120</v>
      </c>
      <c r="C35" s="234">
        <v>66</v>
      </c>
      <c r="D35" s="68">
        <f>2*C35</f>
        <v>132</v>
      </c>
      <c r="E35" s="68">
        <f>C34-D35</f>
        <v>0</v>
      </c>
      <c r="F35" s="7">
        <f>(A$34*1000-B35*C35*12-B35)/2</f>
        <v>2420</v>
      </c>
      <c r="G35" s="16">
        <f t="shared" si="5"/>
        <v>1.6805555555555556</v>
      </c>
      <c r="H35" s="7">
        <f>A$34*1000-(C35*12*B35+2*F35)</f>
        <v>120</v>
      </c>
      <c r="I35" s="7">
        <f t="shared" si="6"/>
        <v>1</v>
      </c>
    </row>
    <row r="37" spans="1:9" x14ac:dyDescent="0.25">
      <c r="A37" s="10" t="s">
        <v>262</v>
      </c>
    </row>
    <row r="38" spans="1:9" ht="60" x14ac:dyDescent="0.25">
      <c r="A38" s="6" t="s">
        <v>263</v>
      </c>
      <c r="B38" s="6" t="s">
        <v>71</v>
      </c>
      <c r="C38" s="6" t="str">
        <f>C33</f>
        <v>Channel Transmission Bandwidth [CRBs]</v>
      </c>
      <c r="D38" s="6" t="str">
        <f>D33</f>
        <v>Channel Transmission Bandwidth
[CRBs of µ-1]</v>
      </c>
      <c r="E38" s="6" t="s">
        <v>265</v>
      </c>
      <c r="F38" s="6" t="s">
        <v>264</v>
      </c>
      <c r="G38" s="6" t="s">
        <v>266</v>
      </c>
      <c r="H38" s="6" t="s">
        <v>267</v>
      </c>
      <c r="I38" s="6" t="s">
        <v>268</v>
      </c>
    </row>
    <row r="39" spans="1:9" x14ac:dyDescent="0.25">
      <c r="A39" s="880">
        <v>10</v>
      </c>
      <c r="B39" s="68">
        <v>15</v>
      </c>
      <c r="C39" s="234">
        <v>52</v>
      </c>
      <c r="D39" s="68" t="s">
        <v>0</v>
      </c>
      <c r="E39" s="68" t="s">
        <v>0</v>
      </c>
      <c r="F39" s="16">
        <f>(A$39*1000-B39*C39*12-B39)/2</f>
        <v>312.5</v>
      </c>
      <c r="G39" s="16">
        <f>F39/(12*B39)</f>
        <v>1.7361111111111112</v>
      </c>
      <c r="H39" s="7">
        <f>A$39*1000-(C39*12*B39+2*F39)</f>
        <v>15</v>
      </c>
      <c r="I39" s="7">
        <f>H39/B39</f>
        <v>1</v>
      </c>
    </row>
    <row r="40" spans="1:9" x14ac:dyDescent="0.25">
      <c r="A40" s="880"/>
      <c r="B40" s="68">
        <v>30</v>
      </c>
      <c r="C40" s="234">
        <v>24</v>
      </c>
      <c r="D40" s="68">
        <f>2*C40</f>
        <v>48</v>
      </c>
      <c r="E40" s="68">
        <f>C39-D40</f>
        <v>4</v>
      </c>
      <c r="F40" s="16">
        <f t="shared" ref="F40:F41" si="7">(A$39*1000-B40*C40*12-B40)/2</f>
        <v>665</v>
      </c>
      <c r="G40" s="16">
        <f>F40/(12*B40)</f>
        <v>1.8472222222222223</v>
      </c>
      <c r="H40" s="7">
        <f>A$39*1000-(C40*12*B40+2*F40)</f>
        <v>30</v>
      </c>
      <c r="I40" s="7">
        <f t="shared" ref="I40:I41" si="8">H40/B40</f>
        <v>1</v>
      </c>
    </row>
    <row r="41" spans="1:9" x14ac:dyDescent="0.25">
      <c r="A41" s="880"/>
      <c r="B41" s="68">
        <v>60</v>
      </c>
      <c r="C41" s="234">
        <v>11</v>
      </c>
      <c r="D41" s="68">
        <f>2*C41</f>
        <v>22</v>
      </c>
      <c r="E41" s="68">
        <f>C40-D41</f>
        <v>2</v>
      </c>
      <c r="F41" s="16">
        <f t="shared" si="7"/>
        <v>1010</v>
      </c>
      <c r="G41" s="16">
        <f t="shared" ref="G41" si="9">F41/(12*B41)</f>
        <v>1.4027777777777777</v>
      </c>
      <c r="H41" s="7">
        <f t="shared" ref="H41" si="10">A$39*1000-(C41*12*B41+2*F41)</f>
        <v>60</v>
      </c>
      <c r="I41" s="7">
        <f t="shared" si="8"/>
        <v>1</v>
      </c>
    </row>
  </sheetData>
  <mergeCells count="3">
    <mergeCell ref="A39:A41"/>
    <mergeCell ref="A34:A35"/>
    <mergeCell ref="A29:A30"/>
  </mergeCells>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977A2-729D-404E-8176-C5EB4242B5CD}">
  <dimension ref="A1:E20"/>
  <sheetViews>
    <sheetView workbookViewId="0">
      <selection activeCell="E21" sqref="E21"/>
    </sheetView>
  </sheetViews>
  <sheetFormatPr baseColWidth="10" defaultColWidth="11.42578125" defaultRowHeight="15" x14ac:dyDescent="0.25"/>
  <cols>
    <col min="1" max="1" width="9.140625" style="1" customWidth="1"/>
    <col min="2" max="2" width="11.85546875" style="1" customWidth="1"/>
    <col min="3" max="4" width="11" style="1" customWidth="1"/>
    <col min="5" max="5" width="11.5703125" style="1" customWidth="1"/>
    <col min="6" max="16384" width="11.42578125" style="1"/>
  </cols>
  <sheetData>
    <row r="1" spans="1:5" ht="18.75" x14ac:dyDescent="0.3">
      <c r="A1" s="4" t="s">
        <v>14</v>
      </c>
    </row>
    <row r="2" spans="1:5" x14ac:dyDescent="0.25">
      <c r="A2" s="33" t="s">
        <v>39</v>
      </c>
    </row>
    <row r="3" spans="1:5" x14ac:dyDescent="0.25">
      <c r="A3" s="33" t="s">
        <v>38</v>
      </c>
    </row>
    <row r="4" spans="1:5" x14ac:dyDescent="0.25">
      <c r="A4" s="33" t="s">
        <v>40</v>
      </c>
    </row>
    <row r="5" spans="1:5" x14ac:dyDescent="0.25">
      <c r="A5" s="33" t="s">
        <v>42</v>
      </c>
    </row>
    <row r="6" spans="1:5" x14ac:dyDescent="0.25">
      <c r="A6" s="33" t="s">
        <v>43</v>
      </c>
    </row>
    <row r="8" spans="1:5" ht="58.5" customHeight="1" x14ac:dyDescent="0.25">
      <c r="A8" s="2" t="s">
        <v>46</v>
      </c>
      <c r="B8" s="2" t="s">
        <v>13</v>
      </c>
      <c r="C8" s="2" t="s">
        <v>44</v>
      </c>
      <c r="D8" s="2" t="s">
        <v>41</v>
      </c>
      <c r="E8" s="2" t="s">
        <v>47</v>
      </c>
    </row>
    <row r="9" spans="1:5" x14ac:dyDescent="0.25">
      <c r="A9" s="3">
        <v>15</v>
      </c>
      <c r="B9" s="34">
        <f>1000/14</f>
        <v>71.428571428571431</v>
      </c>
      <c r="C9" s="36">
        <v>5</v>
      </c>
      <c r="D9" s="35">
        <v>1</v>
      </c>
      <c r="E9" s="32">
        <f>(B9*D9-C9)*$C$20/10^6</f>
        <v>19.928571428571431</v>
      </c>
    </row>
    <row r="10" spans="1:5" x14ac:dyDescent="0.25">
      <c r="A10" s="3">
        <v>15</v>
      </c>
      <c r="B10" s="34">
        <f>1000/14</f>
        <v>71.428571428571431</v>
      </c>
      <c r="C10" s="37">
        <f>C9</f>
        <v>5</v>
      </c>
      <c r="D10" s="35">
        <v>13</v>
      </c>
      <c r="E10" s="32">
        <f t="shared" ref="E10:E16" si="0">(B10*D10-C10)*$C$20/10^6</f>
        <v>277.07142857142856</v>
      </c>
    </row>
    <row r="11" spans="1:5" x14ac:dyDescent="0.25">
      <c r="A11" s="3">
        <f t="shared" ref="A11:A17" si="1">2*A9</f>
        <v>30</v>
      </c>
      <c r="B11" s="34">
        <f>B9/2</f>
        <v>35.714285714285715</v>
      </c>
      <c r="C11" s="37">
        <f t="shared" ref="C11:C16" si="2">C10</f>
        <v>5</v>
      </c>
      <c r="D11" s="35">
        <v>1</v>
      </c>
      <c r="E11" s="32">
        <f t="shared" si="0"/>
        <v>9.2142857142857153</v>
      </c>
    </row>
    <row r="12" spans="1:5" x14ac:dyDescent="0.25">
      <c r="A12" s="3">
        <f t="shared" si="1"/>
        <v>30</v>
      </c>
      <c r="B12" s="34">
        <f>B10/2</f>
        <v>35.714285714285715</v>
      </c>
      <c r="C12" s="37">
        <f t="shared" si="2"/>
        <v>5</v>
      </c>
      <c r="D12" s="35">
        <v>13</v>
      </c>
      <c r="E12" s="32">
        <f t="shared" si="0"/>
        <v>137.78571428571428</v>
      </c>
    </row>
    <row r="13" spans="1:5" x14ac:dyDescent="0.25">
      <c r="A13" s="3">
        <f t="shared" si="1"/>
        <v>60</v>
      </c>
      <c r="B13" s="34">
        <f>B11/2</f>
        <v>17.857142857142858</v>
      </c>
      <c r="C13" s="37">
        <f t="shared" si="2"/>
        <v>5</v>
      </c>
      <c r="D13" s="35">
        <v>1</v>
      </c>
      <c r="E13" s="32">
        <f t="shared" si="0"/>
        <v>3.8571428571428572</v>
      </c>
    </row>
    <row r="14" spans="1:5" x14ac:dyDescent="0.25">
      <c r="A14" s="3">
        <f t="shared" si="1"/>
        <v>60</v>
      </c>
      <c r="B14" s="34">
        <f>B12/2</f>
        <v>17.857142857142858</v>
      </c>
      <c r="C14" s="37">
        <f t="shared" si="2"/>
        <v>5</v>
      </c>
      <c r="D14" s="35">
        <v>13</v>
      </c>
      <c r="E14" s="32">
        <f t="shared" si="0"/>
        <v>68.142857142857139</v>
      </c>
    </row>
    <row r="15" spans="1:5" x14ac:dyDescent="0.25">
      <c r="A15" s="3">
        <f t="shared" si="1"/>
        <v>120</v>
      </c>
      <c r="B15" s="34">
        <f t="shared" ref="B15:B16" si="3">B13/2</f>
        <v>8.9285714285714288</v>
      </c>
      <c r="C15" s="37">
        <f t="shared" si="2"/>
        <v>5</v>
      </c>
      <c r="D15" s="35">
        <v>1</v>
      </c>
      <c r="E15" s="32">
        <f t="shared" si="0"/>
        <v>1.1785714285714286</v>
      </c>
    </row>
    <row r="16" spans="1:5" x14ac:dyDescent="0.25">
      <c r="A16" s="3">
        <f t="shared" si="1"/>
        <v>120</v>
      </c>
      <c r="B16" s="34">
        <f t="shared" si="3"/>
        <v>8.9285714285714288</v>
      </c>
      <c r="C16" s="37">
        <f t="shared" si="2"/>
        <v>5</v>
      </c>
      <c r="D16" s="35">
        <v>13</v>
      </c>
      <c r="E16" s="32">
        <f t="shared" si="0"/>
        <v>33.321428571428569</v>
      </c>
    </row>
    <row r="17" spans="1:5" ht="30" customHeight="1" x14ac:dyDescent="0.25">
      <c r="A17" s="38">
        <f t="shared" si="1"/>
        <v>240</v>
      </c>
      <c r="B17" s="883" t="s">
        <v>12</v>
      </c>
      <c r="C17" s="884"/>
      <c r="D17" s="884"/>
      <c r="E17" s="885"/>
    </row>
    <row r="20" spans="1:5" x14ac:dyDescent="0.25">
      <c r="A20" s="39" t="s">
        <v>599</v>
      </c>
      <c r="B20" s="39"/>
      <c r="C20" s="40">
        <f>300000</f>
        <v>300000</v>
      </c>
      <c r="D20" s="41"/>
      <c r="E20" s="1" t="s">
        <v>600</v>
      </c>
    </row>
  </sheetData>
  <mergeCells count="1">
    <mergeCell ref="B17:E17"/>
  </mergeCells>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62E4F-6C27-464E-B4A9-04EED076C7C3}">
  <dimension ref="A1:I16"/>
  <sheetViews>
    <sheetView workbookViewId="0">
      <selection activeCell="F5" sqref="F5"/>
    </sheetView>
  </sheetViews>
  <sheetFormatPr baseColWidth="10" defaultColWidth="11.42578125" defaultRowHeight="15" x14ac:dyDescent="0.25"/>
  <cols>
    <col min="1" max="1" width="43.5703125" style="12" customWidth="1"/>
    <col min="2" max="2" width="10.28515625" style="12" customWidth="1"/>
    <col min="3" max="3" width="17.85546875" style="12" customWidth="1"/>
    <col min="4" max="16384" width="11.42578125" style="12"/>
  </cols>
  <sheetData>
    <row r="1" spans="1:9" ht="18.75" x14ac:dyDescent="0.25">
      <c r="A1" s="82" t="s">
        <v>248</v>
      </c>
      <c r="G1" s="217"/>
    </row>
    <row r="3" spans="1:9" x14ac:dyDescent="0.25">
      <c r="A3" s="217"/>
      <c r="B3" s="886" t="s">
        <v>250</v>
      </c>
      <c r="C3" s="887"/>
    </row>
    <row r="4" spans="1:9" ht="15.75" thickBot="1" x14ac:dyDescent="0.3">
      <c r="A4" s="228"/>
      <c r="B4" s="232">
        <v>7</v>
      </c>
      <c r="C4" s="233">
        <v>31</v>
      </c>
    </row>
    <row r="5" spans="1:9" ht="45.75" customHeight="1" thickTop="1" x14ac:dyDescent="0.25">
      <c r="A5" s="223" t="s">
        <v>261</v>
      </c>
      <c r="B5" s="225">
        <f>2^B4-1</f>
        <v>127</v>
      </c>
      <c r="C5" s="224">
        <f>2^C4-1</f>
        <v>2147483647</v>
      </c>
    </row>
    <row r="6" spans="1:9" ht="30.75" x14ac:dyDescent="0.25">
      <c r="A6" s="221" t="s">
        <v>257</v>
      </c>
      <c r="B6" s="219">
        <f>2^B5</f>
        <v>1.7014118346046923E+38</v>
      </c>
      <c r="C6" s="226" t="str">
        <f>"~1E+" &amp; TEXT(ROUND(C5/LOG(10,2),0),"#.#")</f>
        <v>~1E+646.456.993</v>
      </c>
    </row>
    <row r="7" spans="1:9" ht="31.5" x14ac:dyDescent="0.25">
      <c r="A7" s="221" t="s">
        <v>258</v>
      </c>
      <c r="B7" s="227">
        <v>1</v>
      </c>
      <c r="C7" s="227">
        <v>1</v>
      </c>
    </row>
    <row r="8" spans="1:9" ht="45" customHeight="1" x14ac:dyDescent="0.25">
      <c r="A8" s="221" t="s">
        <v>259</v>
      </c>
      <c r="B8" s="227">
        <f>B7*B5</f>
        <v>127</v>
      </c>
      <c r="C8" s="227">
        <f>C7*C5</f>
        <v>2147483647</v>
      </c>
    </row>
    <row r="9" spans="1:9" ht="32.25" x14ac:dyDescent="0.25">
      <c r="A9" s="221" t="s">
        <v>260</v>
      </c>
      <c r="B9" s="227">
        <f>B11/B4</f>
        <v>18</v>
      </c>
      <c r="C9" s="220">
        <f>C11/C4</f>
        <v>69273666</v>
      </c>
      <c r="I9" s="158"/>
    </row>
    <row r="10" spans="1:9" ht="31.5" x14ac:dyDescent="0.25">
      <c r="A10" s="221" t="s">
        <v>253</v>
      </c>
      <c r="B10" s="227">
        <f>B9*B7</f>
        <v>18</v>
      </c>
      <c r="C10" s="220">
        <f>C9*C7</f>
        <v>69273666</v>
      </c>
      <c r="I10" s="158"/>
    </row>
    <row r="11" spans="1:9" ht="16.5" x14ac:dyDescent="0.25">
      <c r="A11" s="221" t="s">
        <v>249</v>
      </c>
      <c r="B11" s="227">
        <f>B5-1</f>
        <v>126</v>
      </c>
      <c r="C11" s="220">
        <f>C5-1</f>
        <v>2147483646</v>
      </c>
      <c r="D11" s="12" t="s">
        <v>251</v>
      </c>
    </row>
    <row r="12" spans="1:9" ht="46.5" customHeight="1" x14ac:dyDescent="0.25">
      <c r="A12" s="221" t="s">
        <v>252</v>
      </c>
      <c r="B12" s="227">
        <f>B5+2</f>
        <v>129</v>
      </c>
      <c r="C12" s="220">
        <f>C5+2</f>
        <v>2147483649</v>
      </c>
    </row>
    <row r="13" spans="1:9" ht="45.75" x14ac:dyDescent="0.25">
      <c r="A13" s="221" t="s">
        <v>254</v>
      </c>
      <c r="B13" s="230">
        <f>B12*B5</f>
        <v>16383</v>
      </c>
      <c r="C13" s="220">
        <f>C12*C5</f>
        <v>4.6116860184273879E+18</v>
      </c>
      <c r="I13" s="158"/>
    </row>
    <row r="14" spans="1:9" ht="32.25" x14ac:dyDescent="0.25">
      <c r="A14" s="229" t="s">
        <v>255</v>
      </c>
      <c r="B14" s="231">
        <f>(2^B4-2)/2</f>
        <v>63</v>
      </c>
      <c r="C14" s="220">
        <f>(2^C4-2)/2</f>
        <v>1073741823</v>
      </c>
      <c r="I14" s="158"/>
    </row>
    <row r="15" spans="1:9" ht="31.5" x14ac:dyDescent="0.25">
      <c r="A15" s="221" t="s">
        <v>256</v>
      </c>
      <c r="B15" s="227">
        <f>B14*B12</f>
        <v>8127</v>
      </c>
      <c r="C15" s="220">
        <f>C14*C12</f>
        <v>2.3058430081399521E+18</v>
      </c>
      <c r="I15" s="158"/>
    </row>
    <row r="16" spans="1:9" x14ac:dyDescent="0.25">
      <c r="A16" s="218"/>
      <c r="B16" s="222"/>
      <c r="C16" s="222"/>
    </row>
  </sheetData>
  <mergeCells count="1">
    <mergeCell ref="B3:C3"/>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29A66-FB20-44BD-AA40-E7A15D65CF9B}">
  <dimension ref="A1:D28"/>
  <sheetViews>
    <sheetView workbookViewId="0">
      <selection activeCell="A2" sqref="A2:XFD2"/>
    </sheetView>
  </sheetViews>
  <sheetFormatPr baseColWidth="10" defaultRowHeight="15" x14ac:dyDescent="0.25"/>
  <sheetData>
    <row r="1" spans="1:4" s="83" customFormat="1" ht="15.75" x14ac:dyDescent="0.25">
      <c r="A1" s="81" t="s">
        <v>127</v>
      </c>
    </row>
    <row r="3" spans="1:4" x14ac:dyDescent="0.25">
      <c r="A3" s="79" t="s">
        <v>126</v>
      </c>
      <c r="B3" s="80">
        <v>8</v>
      </c>
    </row>
    <row r="4" spans="1:4" x14ac:dyDescent="0.25">
      <c r="A4" s="79" t="s">
        <v>125</v>
      </c>
      <c r="B4" s="78">
        <f>ROUNDDOWN($B$3/2,0)</f>
        <v>4</v>
      </c>
    </row>
    <row r="5" spans="1:4" x14ac:dyDescent="0.25">
      <c r="B5" s="77"/>
    </row>
    <row r="6" spans="1:4" x14ac:dyDescent="0.25">
      <c r="A6" s="75" t="s">
        <v>124</v>
      </c>
      <c r="B6" s="75" t="s">
        <v>123</v>
      </c>
      <c r="C6" s="75" t="s">
        <v>122</v>
      </c>
      <c r="D6" s="75" t="s">
        <v>121</v>
      </c>
    </row>
    <row r="7" spans="1:4" x14ac:dyDescent="0.25">
      <c r="A7" s="5">
        <v>0</v>
      </c>
      <c r="B7" s="5">
        <v>0</v>
      </c>
      <c r="C7" s="5">
        <f t="shared" ref="C7:C28" si="0">(A7-B7)/2</f>
        <v>0</v>
      </c>
      <c r="D7" s="5">
        <f>IF(A7&lt;=$B$3-2,B7*$B$4+C7,"N/A")</f>
        <v>0</v>
      </c>
    </row>
    <row r="8" spans="1:4" x14ac:dyDescent="0.25">
      <c r="A8" s="5">
        <f t="shared" ref="A8:A28" si="1">A7+1</f>
        <v>1</v>
      </c>
      <c r="B8" s="5">
        <v>1</v>
      </c>
      <c r="C8" s="5">
        <f t="shared" si="0"/>
        <v>0</v>
      </c>
      <c r="D8" s="5">
        <f t="shared" ref="D8:D24" si="2">IF(A8&lt;=$B$3-2,B8*$B$4+C8,"N/A")</f>
        <v>4</v>
      </c>
    </row>
    <row r="9" spans="1:4" x14ac:dyDescent="0.25">
      <c r="A9" s="5">
        <f t="shared" si="1"/>
        <v>2</v>
      </c>
      <c r="B9" s="5">
        <f t="shared" ref="B9:B28" si="3">B7</f>
        <v>0</v>
      </c>
      <c r="C9" s="5">
        <f t="shared" si="0"/>
        <v>1</v>
      </c>
      <c r="D9" s="5">
        <f t="shared" si="2"/>
        <v>1</v>
      </c>
    </row>
    <row r="10" spans="1:4" x14ac:dyDescent="0.25">
      <c r="A10" s="5">
        <f t="shared" si="1"/>
        <v>3</v>
      </c>
      <c r="B10" s="5">
        <f t="shared" si="3"/>
        <v>1</v>
      </c>
      <c r="C10" s="5">
        <f t="shared" si="0"/>
        <v>1</v>
      </c>
      <c r="D10" s="5">
        <f t="shared" si="2"/>
        <v>5</v>
      </c>
    </row>
    <row r="11" spans="1:4" x14ac:dyDescent="0.25">
      <c r="A11" s="5">
        <f t="shared" si="1"/>
        <v>4</v>
      </c>
      <c r="B11" s="5">
        <f t="shared" si="3"/>
        <v>0</v>
      </c>
      <c r="C11" s="5">
        <f t="shared" si="0"/>
        <v>2</v>
      </c>
      <c r="D11" s="5">
        <f t="shared" si="2"/>
        <v>2</v>
      </c>
    </row>
    <row r="12" spans="1:4" x14ac:dyDescent="0.25">
      <c r="A12" s="5">
        <f t="shared" si="1"/>
        <v>5</v>
      </c>
      <c r="B12" s="5">
        <f t="shared" si="3"/>
        <v>1</v>
      </c>
      <c r="C12" s="5">
        <f t="shared" si="0"/>
        <v>2</v>
      </c>
      <c r="D12" s="5">
        <f t="shared" si="2"/>
        <v>6</v>
      </c>
    </row>
    <row r="13" spans="1:4" x14ac:dyDescent="0.25">
      <c r="A13" s="5">
        <f t="shared" si="1"/>
        <v>6</v>
      </c>
      <c r="B13" s="5">
        <f t="shared" si="3"/>
        <v>0</v>
      </c>
      <c r="C13" s="5">
        <f t="shared" si="0"/>
        <v>3</v>
      </c>
      <c r="D13" s="5">
        <f t="shared" si="2"/>
        <v>3</v>
      </c>
    </row>
    <row r="14" spans="1:4" x14ac:dyDescent="0.25">
      <c r="A14" s="5">
        <f t="shared" si="1"/>
        <v>7</v>
      </c>
      <c r="B14" s="5">
        <f t="shared" si="3"/>
        <v>1</v>
      </c>
      <c r="C14" s="5">
        <f t="shared" si="0"/>
        <v>3</v>
      </c>
      <c r="D14" s="5" t="str">
        <f t="shared" si="2"/>
        <v>N/A</v>
      </c>
    </row>
    <row r="15" spans="1:4" x14ac:dyDescent="0.25">
      <c r="A15" s="5">
        <f t="shared" si="1"/>
        <v>8</v>
      </c>
      <c r="B15" s="5">
        <f t="shared" si="3"/>
        <v>0</v>
      </c>
      <c r="C15" s="5">
        <f t="shared" si="0"/>
        <v>4</v>
      </c>
      <c r="D15" s="5" t="str">
        <f t="shared" si="2"/>
        <v>N/A</v>
      </c>
    </row>
    <row r="16" spans="1:4" x14ac:dyDescent="0.25">
      <c r="A16" s="5">
        <f t="shared" si="1"/>
        <v>9</v>
      </c>
      <c r="B16" s="5">
        <f t="shared" si="3"/>
        <v>1</v>
      </c>
      <c r="C16" s="5">
        <f t="shared" si="0"/>
        <v>4</v>
      </c>
      <c r="D16" s="5" t="str">
        <f t="shared" si="2"/>
        <v>N/A</v>
      </c>
    </row>
    <row r="17" spans="1:4" x14ac:dyDescent="0.25">
      <c r="A17" s="5">
        <f t="shared" si="1"/>
        <v>10</v>
      </c>
      <c r="B17" s="5">
        <f t="shared" si="3"/>
        <v>0</v>
      </c>
      <c r="C17" s="5">
        <f t="shared" si="0"/>
        <v>5</v>
      </c>
      <c r="D17" s="5" t="str">
        <f t="shared" si="2"/>
        <v>N/A</v>
      </c>
    </row>
    <row r="18" spans="1:4" x14ac:dyDescent="0.25">
      <c r="A18" s="5">
        <f t="shared" si="1"/>
        <v>11</v>
      </c>
      <c r="B18" s="5">
        <f t="shared" si="3"/>
        <v>1</v>
      </c>
      <c r="C18" s="5">
        <f t="shared" si="0"/>
        <v>5</v>
      </c>
      <c r="D18" s="5" t="str">
        <f t="shared" si="2"/>
        <v>N/A</v>
      </c>
    </row>
    <row r="19" spans="1:4" x14ac:dyDescent="0.25">
      <c r="A19" s="5">
        <f t="shared" si="1"/>
        <v>12</v>
      </c>
      <c r="B19" s="5">
        <f t="shared" si="3"/>
        <v>0</v>
      </c>
      <c r="C19" s="5">
        <f t="shared" si="0"/>
        <v>6</v>
      </c>
      <c r="D19" s="5" t="str">
        <f t="shared" si="2"/>
        <v>N/A</v>
      </c>
    </row>
    <row r="20" spans="1:4" x14ac:dyDescent="0.25">
      <c r="A20" s="5">
        <f t="shared" si="1"/>
        <v>13</v>
      </c>
      <c r="B20" s="5">
        <f t="shared" si="3"/>
        <v>1</v>
      </c>
      <c r="C20" s="5">
        <f t="shared" si="0"/>
        <v>6</v>
      </c>
      <c r="D20" s="5" t="str">
        <f t="shared" si="2"/>
        <v>N/A</v>
      </c>
    </row>
    <row r="21" spans="1:4" x14ac:dyDescent="0.25">
      <c r="A21" s="5">
        <f t="shared" si="1"/>
        <v>14</v>
      </c>
      <c r="B21" s="5">
        <f t="shared" si="3"/>
        <v>0</v>
      </c>
      <c r="C21" s="5">
        <f t="shared" si="0"/>
        <v>7</v>
      </c>
      <c r="D21" s="5" t="str">
        <f t="shared" si="2"/>
        <v>N/A</v>
      </c>
    </row>
    <row r="22" spans="1:4" x14ac:dyDescent="0.25">
      <c r="A22" s="5">
        <f t="shared" si="1"/>
        <v>15</v>
      </c>
      <c r="B22" s="5">
        <f t="shared" si="3"/>
        <v>1</v>
      </c>
      <c r="C22" s="5">
        <f t="shared" si="0"/>
        <v>7</v>
      </c>
      <c r="D22" s="5" t="str">
        <f t="shared" si="2"/>
        <v>N/A</v>
      </c>
    </row>
    <row r="23" spans="1:4" x14ac:dyDescent="0.25">
      <c r="A23" s="5">
        <f t="shared" si="1"/>
        <v>16</v>
      </c>
      <c r="B23" s="5">
        <f t="shared" si="3"/>
        <v>0</v>
      </c>
      <c r="C23" s="5">
        <f t="shared" si="0"/>
        <v>8</v>
      </c>
      <c r="D23" s="5" t="str">
        <f t="shared" si="2"/>
        <v>N/A</v>
      </c>
    </row>
    <row r="24" spans="1:4" x14ac:dyDescent="0.25">
      <c r="A24" s="5">
        <f t="shared" si="1"/>
        <v>17</v>
      </c>
      <c r="B24" s="5">
        <f t="shared" si="3"/>
        <v>1</v>
      </c>
      <c r="C24" s="5">
        <f t="shared" si="0"/>
        <v>8</v>
      </c>
      <c r="D24" s="5" t="str">
        <f t="shared" si="2"/>
        <v>N/A</v>
      </c>
    </row>
    <row r="25" spans="1:4" x14ac:dyDescent="0.25">
      <c r="A25" s="5">
        <f t="shared" si="1"/>
        <v>18</v>
      </c>
      <c r="B25" s="5">
        <f t="shared" si="3"/>
        <v>0</v>
      </c>
      <c r="C25" s="5">
        <f t="shared" si="0"/>
        <v>9</v>
      </c>
      <c r="D25" s="5" t="str">
        <f t="shared" ref="D25:D28" si="4">IF(A25&lt;=$B$4-2,B25*$B$4+C25,"N/A")</f>
        <v>N/A</v>
      </c>
    </row>
    <row r="26" spans="1:4" x14ac:dyDescent="0.25">
      <c r="A26" s="5">
        <f t="shared" si="1"/>
        <v>19</v>
      </c>
      <c r="B26" s="5">
        <f t="shared" si="3"/>
        <v>1</v>
      </c>
      <c r="C26" s="5">
        <f t="shared" si="0"/>
        <v>9</v>
      </c>
      <c r="D26" s="5" t="str">
        <f t="shared" si="4"/>
        <v>N/A</v>
      </c>
    </row>
    <row r="27" spans="1:4" x14ac:dyDescent="0.25">
      <c r="A27" s="5">
        <f t="shared" si="1"/>
        <v>20</v>
      </c>
      <c r="B27" s="5">
        <f t="shared" si="3"/>
        <v>0</v>
      </c>
      <c r="C27" s="5">
        <f t="shared" si="0"/>
        <v>10</v>
      </c>
      <c r="D27" s="5" t="str">
        <f t="shared" si="4"/>
        <v>N/A</v>
      </c>
    </row>
    <row r="28" spans="1:4" x14ac:dyDescent="0.25">
      <c r="A28" s="5">
        <f t="shared" si="1"/>
        <v>21</v>
      </c>
      <c r="B28" s="5">
        <f t="shared" si="3"/>
        <v>1</v>
      </c>
      <c r="C28" s="5">
        <f t="shared" si="0"/>
        <v>10</v>
      </c>
      <c r="D28" s="5" t="str">
        <f t="shared" si="4"/>
        <v>N/A</v>
      </c>
    </row>
  </sheetData>
  <pageMargins left="0.7" right="0.7" top="0.75" bottom="0.75" header="0.3" footer="0.3"/>
  <pageSetup paperSize="9"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B2B35-19A4-4D3D-B046-06499734C8B5}">
  <dimension ref="A1:H9"/>
  <sheetViews>
    <sheetView workbookViewId="0">
      <selection activeCell="J14" sqref="J14"/>
    </sheetView>
  </sheetViews>
  <sheetFormatPr baseColWidth="10" defaultRowHeight="15" x14ac:dyDescent="0.25"/>
  <cols>
    <col min="1" max="1" width="4" customWidth="1"/>
    <col min="2" max="2" width="14.28515625" customWidth="1"/>
    <col min="8" max="8" width="11.42578125" customWidth="1"/>
  </cols>
  <sheetData>
    <row r="1" spans="1:8" ht="18.75" x14ac:dyDescent="0.3">
      <c r="A1" s="8" t="s">
        <v>170</v>
      </c>
    </row>
    <row r="3" spans="1:8" ht="48.75" customHeight="1" thickBot="1" x14ac:dyDescent="0.3">
      <c r="A3" s="104" t="s">
        <v>169</v>
      </c>
      <c r="B3" s="150" t="s">
        <v>203</v>
      </c>
      <c r="C3" s="146" t="s">
        <v>204</v>
      </c>
      <c r="D3" s="105" t="s">
        <v>168</v>
      </c>
      <c r="E3" s="104" t="s">
        <v>167</v>
      </c>
      <c r="F3" s="104" t="s">
        <v>166</v>
      </c>
      <c r="G3" s="103" t="s">
        <v>165</v>
      </c>
      <c r="H3" s="103" t="s">
        <v>164</v>
      </c>
    </row>
    <row r="4" spans="1:8" ht="15.75" thickTop="1" x14ac:dyDescent="0.25">
      <c r="A4" s="889">
        <v>1</v>
      </c>
      <c r="B4" s="147">
        <v>0</v>
      </c>
      <c r="C4" s="892" t="s">
        <v>163</v>
      </c>
      <c r="D4" s="892">
        <v>5</v>
      </c>
      <c r="E4" s="893">
        <v>0</v>
      </c>
      <c r="F4" s="894">
        <v>0</v>
      </c>
      <c r="G4" s="102">
        <v>0</v>
      </c>
      <c r="H4" s="101">
        <f>E$4+(G4-F$4)*D$4/1000</f>
        <v>0</v>
      </c>
    </row>
    <row r="5" spans="1:8" x14ac:dyDescent="0.25">
      <c r="A5" s="889"/>
      <c r="B5" s="148">
        <v>3000</v>
      </c>
      <c r="C5" s="888"/>
      <c r="D5" s="888"/>
      <c r="E5" s="890"/>
      <c r="F5" s="895"/>
      <c r="G5" s="99">
        <v>599999</v>
      </c>
      <c r="H5" s="98">
        <f>E$4+(G5-F$4)*D$4/1000</f>
        <v>2999.9949999999999</v>
      </c>
    </row>
    <row r="6" spans="1:8" ht="15" customHeight="1" x14ac:dyDescent="0.25">
      <c r="A6" s="889">
        <v>2</v>
      </c>
      <c r="B6" s="148">
        <v>3000</v>
      </c>
      <c r="C6" s="888" t="s">
        <v>162</v>
      </c>
      <c r="D6" s="888">
        <v>15</v>
      </c>
      <c r="E6" s="890">
        <v>3000</v>
      </c>
      <c r="F6" s="891">
        <v>600000</v>
      </c>
      <c r="G6" s="99">
        <v>600000</v>
      </c>
      <c r="H6" s="98">
        <f>E$6+(G6-F$6)*D$6/1000</f>
        <v>3000</v>
      </c>
    </row>
    <row r="7" spans="1:8" x14ac:dyDescent="0.25">
      <c r="A7" s="889"/>
      <c r="B7" s="148">
        <v>24250</v>
      </c>
      <c r="C7" s="888"/>
      <c r="D7" s="888"/>
      <c r="E7" s="890"/>
      <c r="F7" s="891"/>
      <c r="G7" s="99">
        <v>2016666</v>
      </c>
      <c r="H7" s="98">
        <f>E$6+(G7-F$6)*D$6/1000</f>
        <v>24249.99</v>
      </c>
    </row>
    <row r="8" spans="1:8" ht="15" customHeight="1" x14ac:dyDescent="0.25">
      <c r="A8" s="889">
        <v>3</v>
      </c>
      <c r="B8" s="148">
        <v>24250</v>
      </c>
      <c r="C8" s="888" t="s">
        <v>49</v>
      </c>
      <c r="D8" s="896">
        <v>60</v>
      </c>
      <c r="E8" s="897">
        <v>24250.080000000002</v>
      </c>
      <c r="F8" s="898">
        <v>2016667</v>
      </c>
      <c r="G8" s="99">
        <v>2016667</v>
      </c>
      <c r="H8" s="98">
        <f>E$8+(G8-F$8)*D$8/1000</f>
        <v>24250.080000000002</v>
      </c>
    </row>
    <row r="9" spans="1:8" x14ac:dyDescent="0.25">
      <c r="A9" s="889"/>
      <c r="B9" s="149">
        <v>100000</v>
      </c>
      <c r="C9" s="888"/>
      <c r="D9" s="894"/>
      <c r="E9" s="893"/>
      <c r="F9" s="899"/>
      <c r="G9" s="99">
        <v>3279165</v>
      </c>
      <c r="H9" s="98">
        <f>E$8+(G9-F$8)*D$8/1000</f>
        <v>99999.96</v>
      </c>
    </row>
  </sheetData>
  <mergeCells count="15">
    <mergeCell ref="C8:C9"/>
    <mergeCell ref="A8:A9"/>
    <mergeCell ref="D8:D9"/>
    <mergeCell ref="E8:E9"/>
    <mergeCell ref="F8:F9"/>
    <mergeCell ref="C4:C5"/>
    <mergeCell ref="A4:A5"/>
    <mergeCell ref="D4:D5"/>
    <mergeCell ref="E4:E5"/>
    <mergeCell ref="F4:F5"/>
    <mergeCell ref="C6:C7"/>
    <mergeCell ref="A6:A7"/>
    <mergeCell ref="D6:D7"/>
    <mergeCell ref="E6:E7"/>
    <mergeCell ref="F6:F7"/>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2EFE7-F1DE-4F03-BB25-724448617389}">
  <dimension ref="A1:I9"/>
  <sheetViews>
    <sheetView workbookViewId="0">
      <selection activeCell="I8" sqref="I8:I9"/>
    </sheetView>
  </sheetViews>
  <sheetFormatPr baseColWidth="10" defaultRowHeight="15" x14ac:dyDescent="0.25"/>
  <cols>
    <col min="1" max="1" width="4" customWidth="1"/>
    <col min="2" max="2" width="10.5703125" customWidth="1"/>
    <col min="5" max="5" width="8.7109375" customWidth="1"/>
    <col min="6" max="6" width="14" customWidth="1"/>
    <col min="7" max="7" width="16.85546875" customWidth="1"/>
    <col min="8" max="8" width="12.140625" customWidth="1"/>
    <col min="9" max="9" width="12.85546875" customWidth="1"/>
  </cols>
  <sheetData>
    <row r="1" spans="1:9" ht="18.75" x14ac:dyDescent="0.3">
      <c r="A1" s="8" t="s">
        <v>205</v>
      </c>
    </row>
    <row r="3" spans="1:9" ht="48.75" customHeight="1" thickBot="1" x14ac:dyDescent="0.3">
      <c r="A3" s="104" t="s">
        <v>169</v>
      </c>
      <c r="B3" s="152" t="s">
        <v>203</v>
      </c>
      <c r="C3" s="100" t="s">
        <v>204</v>
      </c>
      <c r="D3" s="151" t="s">
        <v>206</v>
      </c>
      <c r="E3" s="151" t="s">
        <v>207</v>
      </c>
      <c r="F3" s="151" t="s">
        <v>215</v>
      </c>
      <c r="G3" s="151" t="s">
        <v>217</v>
      </c>
      <c r="H3" s="151" t="s">
        <v>216</v>
      </c>
      <c r="I3" s="151" t="s">
        <v>218</v>
      </c>
    </row>
    <row r="4" spans="1:9" ht="17.25" customHeight="1" thickTop="1" x14ac:dyDescent="0.25">
      <c r="A4" s="902">
        <v>1</v>
      </c>
      <c r="B4" s="153">
        <v>0</v>
      </c>
      <c r="C4" s="895" t="s">
        <v>163</v>
      </c>
      <c r="D4" s="154">
        <v>1</v>
      </c>
      <c r="E4" s="895" t="s">
        <v>208</v>
      </c>
      <c r="F4" s="896" t="s">
        <v>214</v>
      </c>
      <c r="G4" s="900" t="s">
        <v>212</v>
      </c>
      <c r="H4" s="156">
        <f>3*D4+(1-3)/2</f>
        <v>2</v>
      </c>
      <c r="I4" s="157">
        <f>D4*1.2+1*0.05</f>
        <v>1.25</v>
      </c>
    </row>
    <row r="5" spans="1:9" ht="17.25" customHeight="1" x14ac:dyDescent="0.25">
      <c r="A5" s="903"/>
      <c r="B5" s="155">
        <v>3000</v>
      </c>
      <c r="C5" s="895"/>
      <c r="D5" s="156">
        <v>2499</v>
      </c>
      <c r="E5" s="895"/>
      <c r="F5" s="894"/>
      <c r="G5" s="901"/>
      <c r="H5" s="156">
        <f>3*D5+(5-3)/2</f>
        <v>7498</v>
      </c>
      <c r="I5" s="157">
        <f>D5*1.2+5*0.05</f>
        <v>2999.0499999999997</v>
      </c>
    </row>
    <row r="6" spans="1:9" ht="17.25" customHeight="1" x14ac:dyDescent="0.25">
      <c r="A6" s="904">
        <v>2</v>
      </c>
      <c r="B6" s="155">
        <v>3000</v>
      </c>
      <c r="C6" s="895" t="s">
        <v>162</v>
      </c>
      <c r="D6" s="156">
        <v>0</v>
      </c>
      <c r="E6" s="895" t="s">
        <v>0</v>
      </c>
      <c r="F6" s="896" t="s">
        <v>209</v>
      </c>
      <c r="G6" s="896" t="s">
        <v>213</v>
      </c>
      <c r="H6" s="156">
        <f>7499+D6</f>
        <v>7499</v>
      </c>
      <c r="I6" s="157">
        <f>3000+D6*1.44</f>
        <v>3000</v>
      </c>
    </row>
    <row r="7" spans="1:9" ht="17.25" customHeight="1" x14ac:dyDescent="0.25">
      <c r="A7" s="903"/>
      <c r="B7" s="155">
        <v>24250</v>
      </c>
      <c r="C7" s="895"/>
      <c r="D7" s="156">
        <v>14756</v>
      </c>
      <c r="E7" s="895"/>
      <c r="F7" s="894"/>
      <c r="G7" s="894"/>
      <c r="H7" s="156">
        <f>7499+D7</f>
        <v>22255</v>
      </c>
      <c r="I7" s="157">
        <f>3000+D7*1.44</f>
        <v>24248.639999999999</v>
      </c>
    </row>
    <row r="8" spans="1:9" ht="17.25" customHeight="1" x14ac:dyDescent="0.25">
      <c r="A8" s="889">
        <v>3</v>
      </c>
      <c r="B8" s="155">
        <v>24250</v>
      </c>
      <c r="C8" s="895" t="s">
        <v>49</v>
      </c>
      <c r="D8" s="156">
        <v>0</v>
      </c>
      <c r="E8" s="895" t="s">
        <v>0</v>
      </c>
      <c r="F8" s="896" t="s">
        <v>211</v>
      </c>
      <c r="G8" s="896" t="s">
        <v>210</v>
      </c>
      <c r="H8" s="156">
        <f>22256+D8</f>
        <v>22256</v>
      </c>
      <c r="I8" s="157">
        <f>24250.08+D8*17.28</f>
        <v>24250.080000000002</v>
      </c>
    </row>
    <row r="9" spans="1:9" ht="17.25" customHeight="1" x14ac:dyDescent="0.25">
      <c r="A9" s="889"/>
      <c r="B9" s="155">
        <v>100000</v>
      </c>
      <c r="C9" s="895"/>
      <c r="D9" s="156">
        <v>4383</v>
      </c>
      <c r="E9" s="895"/>
      <c r="F9" s="894"/>
      <c r="G9" s="894"/>
      <c r="H9" s="156">
        <f>22256+D9</f>
        <v>26639</v>
      </c>
      <c r="I9" s="157">
        <f>24250.08+D9*17.28</f>
        <v>99988.32</v>
      </c>
    </row>
  </sheetData>
  <mergeCells count="15">
    <mergeCell ref="F4:F5"/>
    <mergeCell ref="G6:G7"/>
    <mergeCell ref="F6:F7"/>
    <mergeCell ref="F8:F9"/>
    <mergeCell ref="A8:A9"/>
    <mergeCell ref="C8:C9"/>
    <mergeCell ref="E8:E9"/>
    <mergeCell ref="G8:G9"/>
    <mergeCell ref="G4:G5"/>
    <mergeCell ref="A4:A5"/>
    <mergeCell ref="C4:C5"/>
    <mergeCell ref="E4:E5"/>
    <mergeCell ref="A6:A7"/>
    <mergeCell ref="C6:C7"/>
    <mergeCell ref="E6:E7"/>
  </mergeCells>
  <phoneticPr fontId="9"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7352E-2221-4D4F-A566-3AC5CA8291E6}">
  <dimension ref="A1:C89"/>
  <sheetViews>
    <sheetView topLeftCell="A74" workbookViewId="0">
      <selection activeCell="A6" sqref="A6"/>
    </sheetView>
  </sheetViews>
  <sheetFormatPr baseColWidth="10" defaultRowHeight="15" x14ac:dyDescent="0.25"/>
  <sheetData>
    <row r="1" spans="1:3" ht="18.75" x14ac:dyDescent="0.25">
      <c r="A1" s="13" t="s">
        <v>190</v>
      </c>
    </row>
    <row r="2" spans="1:3" ht="18.75" x14ac:dyDescent="0.25">
      <c r="A2" s="13" t="s">
        <v>191</v>
      </c>
    </row>
    <row r="4" spans="1:3" x14ac:dyDescent="0.25">
      <c r="A4" s="10" t="s">
        <v>201</v>
      </c>
    </row>
    <row r="5" spans="1:3" x14ac:dyDescent="0.25">
      <c r="A5" s="10" t="s">
        <v>202</v>
      </c>
    </row>
    <row r="6" spans="1:3" ht="30" x14ac:dyDescent="0.25">
      <c r="A6" s="6" t="s">
        <v>198</v>
      </c>
      <c r="B6" s="143" t="s">
        <v>199</v>
      </c>
      <c r="C6" s="6" t="s">
        <v>200</v>
      </c>
    </row>
    <row r="7" spans="1:3" x14ac:dyDescent="0.25">
      <c r="A7" s="905" t="s">
        <v>192</v>
      </c>
      <c r="B7" s="145">
        <v>782000</v>
      </c>
      <c r="C7" s="144" t="s">
        <v>0</v>
      </c>
    </row>
    <row r="8" spans="1:3" x14ac:dyDescent="0.25">
      <c r="A8" s="905"/>
      <c r="B8" s="145">
        <v>788669</v>
      </c>
      <c r="C8" s="145">
        <f>B8-B7</f>
        <v>6669</v>
      </c>
    </row>
    <row r="9" spans="1:3" x14ac:dyDescent="0.25">
      <c r="A9" s="905" t="s">
        <v>193</v>
      </c>
      <c r="B9" s="145">
        <v>744000</v>
      </c>
      <c r="C9" s="144" t="s">
        <v>0</v>
      </c>
    </row>
    <row r="10" spans="1:3" x14ac:dyDescent="0.25">
      <c r="A10" s="905"/>
      <c r="B10" s="145">
        <v>745332</v>
      </c>
      <c r="C10" s="145">
        <f>B10-B9</f>
        <v>1332</v>
      </c>
    </row>
    <row r="11" spans="1:3" x14ac:dyDescent="0.25">
      <c r="A11" s="905"/>
      <c r="B11" s="145">
        <v>746668</v>
      </c>
      <c r="C11" s="145">
        <f t="shared" ref="C11:C74" si="0">B11-B10</f>
        <v>1336</v>
      </c>
    </row>
    <row r="12" spans="1:3" x14ac:dyDescent="0.25">
      <c r="A12" s="905"/>
      <c r="B12" s="145">
        <v>748000</v>
      </c>
      <c r="C12" s="145">
        <f t="shared" si="0"/>
        <v>1332</v>
      </c>
    </row>
    <row r="13" spans="1:3" x14ac:dyDescent="0.25">
      <c r="A13" s="905"/>
      <c r="B13" s="145">
        <v>749332</v>
      </c>
      <c r="C13" s="145">
        <f t="shared" si="0"/>
        <v>1332</v>
      </c>
    </row>
    <row r="14" spans="1:3" x14ac:dyDescent="0.25">
      <c r="A14" s="905"/>
      <c r="B14" s="145">
        <v>750668</v>
      </c>
      <c r="C14" s="145">
        <f t="shared" si="0"/>
        <v>1336</v>
      </c>
    </row>
    <row r="15" spans="1:3" x14ac:dyDescent="0.25">
      <c r="A15" s="905"/>
      <c r="B15" s="145">
        <v>752000</v>
      </c>
      <c r="C15" s="145">
        <f t="shared" si="0"/>
        <v>1332</v>
      </c>
    </row>
    <row r="16" spans="1:3" x14ac:dyDescent="0.25">
      <c r="A16" s="905"/>
      <c r="B16" s="145">
        <v>753332</v>
      </c>
      <c r="C16" s="145">
        <f t="shared" si="0"/>
        <v>1332</v>
      </c>
    </row>
    <row r="17" spans="1:3" x14ac:dyDescent="0.25">
      <c r="A17" s="905"/>
      <c r="B17" s="145">
        <v>754668</v>
      </c>
      <c r="C17" s="145">
        <f t="shared" si="0"/>
        <v>1336</v>
      </c>
    </row>
    <row r="18" spans="1:3" x14ac:dyDescent="0.25">
      <c r="A18" s="905"/>
      <c r="B18" s="145">
        <v>756000</v>
      </c>
      <c r="C18" s="145">
        <f t="shared" si="0"/>
        <v>1332</v>
      </c>
    </row>
    <row r="19" spans="1:3" x14ac:dyDescent="0.25">
      <c r="A19" s="905"/>
      <c r="B19" s="145">
        <v>765332</v>
      </c>
      <c r="C19" s="145">
        <f t="shared" si="0"/>
        <v>9332</v>
      </c>
    </row>
    <row r="20" spans="1:3" x14ac:dyDescent="0.25">
      <c r="A20" s="905"/>
      <c r="B20" s="145">
        <v>766668</v>
      </c>
      <c r="C20" s="145">
        <f t="shared" si="0"/>
        <v>1336</v>
      </c>
    </row>
    <row r="21" spans="1:3" x14ac:dyDescent="0.25">
      <c r="A21" s="905"/>
      <c r="B21" s="145">
        <v>768000</v>
      </c>
      <c r="C21" s="145">
        <f t="shared" si="0"/>
        <v>1332</v>
      </c>
    </row>
    <row r="22" spans="1:3" x14ac:dyDescent="0.25">
      <c r="A22" s="905"/>
      <c r="B22" s="145">
        <v>769332</v>
      </c>
      <c r="C22" s="145">
        <f t="shared" si="0"/>
        <v>1332</v>
      </c>
    </row>
    <row r="23" spans="1:3" x14ac:dyDescent="0.25">
      <c r="A23" s="905"/>
      <c r="B23" s="145">
        <v>770668</v>
      </c>
      <c r="C23" s="145">
        <f t="shared" si="0"/>
        <v>1336</v>
      </c>
    </row>
    <row r="24" spans="1:3" x14ac:dyDescent="0.25">
      <c r="A24" s="905"/>
      <c r="B24" s="145">
        <v>772000</v>
      </c>
      <c r="C24" s="145">
        <f t="shared" si="0"/>
        <v>1332</v>
      </c>
    </row>
    <row r="25" spans="1:3" x14ac:dyDescent="0.25">
      <c r="A25" s="905"/>
      <c r="B25" s="145">
        <v>773332</v>
      </c>
      <c r="C25" s="145">
        <f t="shared" si="0"/>
        <v>1332</v>
      </c>
    </row>
    <row r="26" spans="1:3" x14ac:dyDescent="0.25">
      <c r="A26" s="905"/>
      <c r="B26" s="145">
        <v>774668</v>
      </c>
      <c r="C26" s="145">
        <f t="shared" si="0"/>
        <v>1336</v>
      </c>
    </row>
    <row r="27" spans="1:3" x14ac:dyDescent="0.25">
      <c r="A27" s="905"/>
      <c r="B27" s="145">
        <v>776000</v>
      </c>
      <c r="C27" s="145">
        <f t="shared" si="0"/>
        <v>1332</v>
      </c>
    </row>
    <row r="28" spans="1:3" x14ac:dyDescent="0.25">
      <c r="A28" s="905"/>
      <c r="B28" s="145">
        <v>777332</v>
      </c>
      <c r="C28" s="145">
        <f t="shared" si="0"/>
        <v>1332</v>
      </c>
    </row>
    <row r="29" spans="1:3" x14ac:dyDescent="0.25">
      <c r="A29" s="905"/>
      <c r="B29" s="145">
        <v>778668</v>
      </c>
      <c r="C29" s="145">
        <f t="shared" si="0"/>
        <v>1336</v>
      </c>
    </row>
    <row r="30" spans="1:3" x14ac:dyDescent="0.25">
      <c r="A30" s="905"/>
      <c r="B30" s="145">
        <v>780000</v>
      </c>
      <c r="C30" s="145">
        <f t="shared" si="0"/>
        <v>1332</v>
      </c>
    </row>
    <row r="31" spans="1:3" x14ac:dyDescent="0.25">
      <c r="A31" s="905"/>
      <c r="B31" s="145">
        <v>781332</v>
      </c>
      <c r="C31" s="145">
        <f t="shared" si="0"/>
        <v>1332</v>
      </c>
    </row>
    <row r="32" spans="1:3" x14ac:dyDescent="0.25">
      <c r="A32" s="905"/>
      <c r="B32" s="145">
        <v>783000</v>
      </c>
      <c r="C32" s="145">
        <f t="shared" si="0"/>
        <v>1668</v>
      </c>
    </row>
    <row r="33" spans="1:3" x14ac:dyDescent="0.25">
      <c r="A33" s="905"/>
      <c r="B33" s="145">
        <v>784332</v>
      </c>
      <c r="C33" s="145">
        <f t="shared" si="0"/>
        <v>1332</v>
      </c>
    </row>
    <row r="34" spans="1:3" x14ac:dyDescent="0.25">
      <c r="A34" s="905"/>
      <c r="B34" s="145">
        <v>785668</v>
      </c>
      <c r="C34" s="145">
        <f>B34-B33</f>
        <v>1336</v>
      </c>
    </row>
    <row r="35" spans="1:3" x14ac:dyDescent="0.25">
      <c r="A35" s="905"/>
      <c r="B35" s="145">
        <v>787000</v>
      </c>
      <c r="C35" s="145">
        <f t="shared" si="0"/>
        <v>1332</v>
      </c>
    </row>
    <row r="36" spans="1:3" x14ac:dyDescent="0.25">
      <c r="A36" s="905"/>
      <c r="B36" s="145">
        <v>788332</v>
      </c>
      <c r="C36" s="145">
        <f t="shared" si="0"/>
        <v>1332</v>
      </c>
    </row>
    <row r="37" spans="1:3" x14ac:dyDescent="0.25">
      <c r="A37" s="905"/>
      <c r="B37" s="145">
        <v>789668</v>
      </c>
      <c r="C37" s="145">
        <f t="shared" si="0"/>
        <v>1336</v>
      </c>
    </row>
    <row r="38" spans="1:3" x14ac:dyDescent="0.25">
      <c r="A38" s="905"/>
      <c r="B38" s="145">
        <v>791000</v>
      </c>
      <c r="C38" s="145">
        <f t="shared" si="0"/>
        <v>1332</v>
      </c>
    </row>
    <row r="39" spans="1:3" x14ac:dyDescent="0.25">
      <c r="A39" s="905"/>
      <c r="B39" s="145">
        <v>792332</v>
      </c>
      <c r="C39" s="145">
        <f t="shared" si="0"/>
        <v>1332</v>
      </c>
    </row>
    <row r="40" spans="1:3" x14ac:dyDescent="0.25">
      <c r="A40" s="905"/>
      <c r="B40" s="145">
        <v>793668</v>
      </c>
      <c r="C40" s="145">
        <f t="shared" si="0"/>
        <v>1336</v>
      </c>
    </row>
    <row r="41" spans="1:3" x14ac:dyDescent="0.25">
      <c r="A41" s="905" t="s">
        <v>194</v>
      </c>
      <c r="B41" s="145">
        <v>744668</v>
      </c>
      <c r="C41" s="144" t="s">
        <v>0</v>
      </c>
    </row>
    <row r="42" spans="1:3" x14ac:dyDescent="0.25">
      <c r="A42" s="905"/>
      <c r="B42" s="145">
        <v>746000</v>
      </c>
      <c r="C42" s="145">
        <f t="shared" si="0"/>
        <v>1332</v>
      </c>
    </row>
    <row r="43" spans="1:3" x14ac:dyDescent="0.25">
      <c r="A43" s="905"/>
      <c r="B43" s="145">
        <v>748668</v>
      </c>
      <c r="C43" s="145">
        <f t="shared" si="0"/>
        <v>2668</v>
      </c>
    </row>
    <row r="44" spans="1:3" x14ac:dyDescent="0.25">
      <c r="A44" s="905"/>
      <c r="B44" s="145">
        <v>751332</v>
      </c>
      <c r="C44" s="145">
        <f t="shared" si="0"/>
        <v>2664</v>
      </c>
    </row>
    <row r="45" spans="1:3" x14ac:dyDescent="0.25">
      <c r="A45" s="905"/>
      <c r="B45" s="145">
        <v>754000</v>
      </c>
      <c r="C45" s="145">
        <f t="shared" si="0"/>
        <v>2668</v>
      </c>
    </row>
    <row r="46" spans="1:3" x14ac:dyDescent="0.25">
      <c r="A46" s="905"/>
      <c r="B46" s="145">
        <v>755332</v>
      </c>
      <c r="C46" s="145">
        <f t="shared" si="0"/>
        <v>1332</v>
      </c>
    </row>
    <row r="47" spans="1:3" x14ac:dyDescent="0.25">
      <c r="A47" s="905"/>
      <c r="B47" s="145">
        <v>766000</v>
      </c>
      <c r="C47" s="145">
        <f t="shared" si="0"/>
        <v>10668</v>
      </c>
    </row>
    <row r="48" spans="1:3" x14ac:dyDescent="0.25">
      <c r="A48" s="905"/>
      <c r="B48" s="145">
        <v>767332</v>
      </c>
      <c r="C48" s="145">
        <f t="shared" si="0"/>
        <v>1332</v>
      </c>
    </row>
    <row r="49" spans="1:3" x14ac:dyDescent="0.25">
      <c r="A49" s="905"/>
      <c r="B49" s="145">
        <v>770000</v>
      </c>
      <c r="C49" s="145">
        <f t="shared" si="0"/>
        <v>2668</v>
      </c>
    </row>
    <row r="50" spans="1:3" x14ac:dyDescent="0.25">
      <c r="A50" s="905"/>
      <c r="B50" s="145">
        <v>772668</v>
      </c>
      <c r="C50" s="145">
        <f t="shared" si="0"/>
        <v>2668</v>
      </c>
    </row>
    <row r="51" spans="1:3" x14ac:dyDescent="0.25">
      <c r="A51" s="905"/>
      <c r="B51" s="145">
        <v>775332</v>
      </c>
      <c r="C51" s="145">
        <f t="shared" si="0"/>
        <v>2664</v>
      </c>
    </row>
    <row r="52" spans="1:3" x14ac:dyDescent="0.25">
      <c r="A52" s="905"/>
      <c r="B52" s="145">
        <v>778000</v>
      </c>
      <c r="C52" s="145">
        <f t="shared" si="0"/>
        <v>2668</v>
      </c>
    </row>
    <row r="53" spans="1:3" x14ac:dyDescent="0.25">
      <c r="A53" s="905"/>
      <c r="B53" s="145">
        <v>780668</v>
      </c>
      <c r="C53" s="145">
        <f t="shared" si="0"/>
        <v>2668</v>
      </c>
    </row>
    <row r="54" spans="1:3" x14ac:dyDescent="0.25">
      <c r="A54" s="905"/>
      <c r="B54" s="145">
        <v>783668</v>
      </c>
      <c r="C54" s="145">
        <f t="shared" si="0"/>
        <v>3000</v>
      </c>
    </row>
    <row r="55" spans="1:3" x14ac:dyDescent="0.25">
      <c r="A55" s="905"/>
      <c r="B55" s="145">
        <v>786332</v>
      </c>
      <c r="C55" s="145">
        <f t="shared" si="0"/>
        <v>2664</v>
      </c>
    </row>
    <row r="56" spans="1:3" x14ac:dyDescent="0.25">
      <c r="A56" s="905"/>
      <c r="B56" s="145">
        <v>787668</v>
      </c>
      <c r="C56" s="145">
        <f t="shared" si="0"/>
        <v>1336</v>
      </c>
    </row>
    <row r="57" spans="1:3" x14ac:dyDescent="0.25">
      <c r="A57" s="905"/>
      <c r="B57" s="145">
        <v>790332</v>
      </c>
      <c r="C57" s="145">
        <f t="shared" si="0"/>
        <v>2664</v>
      </c>
    </row>
    <row r="58" spans="1:3" x14ac:dyDescent="0.25">
      <c r="A58" s="905"/>
      <c r="B58" s="145">
        <v>793000</v>
      </c>
      <c r="C58" s="145">
        <f t="shared" si="0"/>
        <v>2668</v>
      </c>
    </row>
    <row r="59" spans="1:3" x14ac:dyDescent="0.25">
      <c r="A59" s="905" t="s">
        <v>195</v>
      </c>
      <c r="B59" s="145">
        <v>745332</v>
      </c>
      <c r="C59" s="144" t="s">
        <v>0</v>
      </c>
    </row>
    <row r="60" spans="1:3" x14ac:dyDescent="0.25">
      <c r="A60" s="905"/>
      <c r="B60" s="145">
        <v>746668</v>
      </c>
      <c r="C60" s="145">
        <f t="shared" si="0"/>
        <v>1336</v>
      </c>
    </row>
    <row r="61" spans="1:3" x14ac:dyDescent="0.25">
      <c r="A61" s="905"/>
      <c r="B61" s="145">
        <v>748000</v>
      </c>
      <c r="C61" s="145">
        <f t="shared" si="0"/>
        <v>1332</v>
      </c>
    </row>
    <row r="62" spans="1:3" x14ac:dyDescent="0.25">
      <c r="A62" s="905"/>
      <c r="B62" s="145">
        <v>752000</v>
      </c>
      <c r="C62" s="145">
        <f t="shared" si="0"/>
        <v>4000</v>
      </c>
    </row>
    <row r="63" spans="1:3" x14ac:dyDescent="0.25">
      <c r="A63" s="905"/>
      <c r="B63" s="145">
        <v>753332</v>
      </c>
      <c r="C63" s="145">
        <f t="shared" si="0"/>
        <v>1332</v>
      </c>
    </row>
    <row r="64" spans="1:3" x14ac:dyDescent="0.25">
      <c r="A64" s="905"/>
      <c r="B64" s="145">
        <v>754668</v>
      </c>
      <c r="C64" s="145">
        <f t="shared" si="0"/>
        <v>1336</v>
      </c>
    </row>
    <row r="65" spans="1:3" x14ac:dyDescent="0.25">
      <c r="A65" s="905"/>
      <c r="B65" s="145">
        <v>766668</v>
      </c>
      <c r="C65" s="145">
        <f t="shared" si="0"/>
        <v>12000</v>
      </c>
    </row>
    <row r="66" spans="1:3" x14ac:dyDescent="0.25">
      <c r="A66" s="905"/>
      <c r="B66" s="145">
        <v>768000</v>
      </c>
      <c r="C66" s="145">
        <f t="shared" si="0"/>
        <v>1332</v>
      </c>
    </row>
    <row r="67" spans="1:3" x14ac:dyDescent="0.25">
      <c r="A67" s="905"/>
      <c r="B67" s="145">
        <v>769332</v>
      </c>
      <c r="C67" s="145">
        <f t="shared" si="0"/>
        <v>1332</v>
      </c>
    </row>
    <row r="68" spans="1:3" x14ac:dyDescent="0.25">
      <c r="A68" s="905"/>
      <c r="B68" s="145">
        <v>773332</v>
      </c>
      <c r="C68" s="145">
        <f t="shared" si="0"/>
        <v>4000</v>
      </c>
    </row>
    <row r="69" spans="1:3" x14ac:dyDescent="0.25">
      <c r="A69" s="905"/>
      <c r="B69" s="145">
        <v>774668</v>
      </c>
      <c r="C69" s="145">
        <f t="shared" si="0"/>
        <v>1336</v>
      </c>
    </row>
    <row r="70" spans="1:3" x14ac:dyDescent="0.25">
      <c r="A70" s="905"/>
      <c r="B70" s="145">
        <v>778668</v>
      </c>
      <c r="C70" s="145">
        <f t="shared" si="0"/>
        <v>4000</v>
      </c>
    </row>
    <row r="71" spans="1:3" x14ac:dyDescent="0.25">
      <c r="A71" s="905"/>
      <c r="B71" s="145">
        <v>780000</v>
      </c>
      <c r="C71" s="145">
        <f t="shared" si="0"/>
        <v>1332</v>
      </c>
    </row>
    <row r="72" spans="1:3" x14ac:dyDescent="0.25">
      <c r="A72" s="905"/>
      <c r="B72" s="145">
        <v>784332</v>
      </c>
      <c r="C72" s="145">
        <f t="shared" si="0"/>
        <v>4332</v>
      </c>
    </row>
    <row r="73" spans="1:3" x14ac:dyDescent="0.25">
      <c r="A73" s="905"/>
      <c r="B73" s="145">
        <v>785668</v>
      </c>
      <c r="C73" s="145">
        <f t="shared" si="0"/>
        <v>1336</v>
      </c>
    </row>
    <row r="74" spans="1:3" x14ac:dyDescent="0.25">
      <c r="A74" s="905"/>
      <c r="B74" s="145">
        <v>791000</v>
      </c>
      <c r="C74" s="145">
        <f t="shared" si="0"/>
        <v>5332</v>
      </c>
    </row>
    <row r="75" spans="1:3" x14ac:dyDescent="0.25">
      <c r="A75" s="905"/>
      <c r="B75" s="145">
        <v>792332</v>
      </c>
      <c r="C75" s="145">
        <f t="shared" ref="C75" si="1">B75-B74</f>
        <v>1332</v>
      </c>
    </row>
    <row r="76" spans="1:3" x14ac:dyDescent="0.25">
      <c r="A76" s="905" t="s">
        <v>196</v>
      </c>
      <c r="B76" s="145">
        <v>746000</v>
      </c>
      <c r="C76" s="144" t="s">
        <v>0</v>
      </c>
    </row>
    <row r="77" spans="1:3" x14ac:dyDescent="0.25">
      <c r="A77" s="905"/>
      <c r="B77" s="145">
        <v>747332</v>
      </c>
      <c r="C77" s="145">
        <f t="shared" ref="C77:C85" si="2">B77-B76</f>
        <v>1332</v>
      </c>
    </row>
    <row r="78" spans="1:3" x14ac:dyDescent="0.25">
      <c r="A78" s="905"/>
      <c r="B78" s="145">
        <v>752668</v>
      </c>
      <c r="C78" s="145">
        <f t="shared" si="2"/>
        <v>5336</v>
      </c>
    </row>
    <row r="79" spans="1:3" x14ac:dyDescent="0.25">
      <c r="A79" s="905"/>
      <c r="B79" s="145">
        <v>754000</v>
      </c>
      <c r="C79" s="145">
        <f t="shared" si="2"/>
        <v>1332</v>
      </c>
    </row>
    <row r="80" spans="1:3" x14ac:dyDescent="0.25">
      <c r="A80" s="905"/>
      <c r="B80" s="145">
        <v>767332</v>
      </c>
      <c r="C80" s="145">
        <f t="shared" si="2"/>
        <v>13332</v>
      </c>
    </row>
    <row r="81" spans="1:3" x14ac:dyDescent="0.25">
      <c r="A81" s="905"/>
      <c r="B81" s="145">
        <v>768668</v>
      </c>
      <c r="C81" s="145">
        <f t="shared" si="2"/>
        <v>1336</v>
      </c>
    </row>
    <row r="82" spans="1:3" x14ac:dyDescent="0.25">
      <c r="A82" s="905"/>
      <c r="B82" s="145">
        <v>774000</v>
      </c>
      <c r="C82" s="145">
        <f t="shared" si="2"/>
        <v>5332</v>
      </c>
    </row>
    <row r="83" spans="1:3" x14ac:dyDescent="0.25">
      <c r="A83" s="905"/>
      <c r="B83" s="145">
        <v>779332</v>
      </c>
      <c r="C83" s="145">
        <f t="shared" si="2"/>
        <v>5332</v>
      </c>
    </row>
    <row r="84" spans="1:3" x14ac:dyDescent="0.25">
      <c r="A84" s="905"/>
      <c r="B84" s="145">
        <v>785000</v>
      </c>
      <c r="C84" s="145">
        <f t="shared" si="2"/>
        <v>5668</v>
      </c>
    </row>
    <row r="85" spans="1:3" x14ac:dyDescent="0.25">
      <c r="A85" s="905"/>
      <c r="B85" s="145">
        <v>791668</v>
      </c>
      <c r="C85" s="145">
        <f t="shared" si="2"/>
        <v>6668</v>
      </c>
    </row>
    <row r="86" spans="1:3" x14ac:dyDescent="0.25">
      <c r="A86" s="905" t="s">
        <v>197</v>
      </c>
      <c r="B86" s="145">
        <v>746668</v>
      </c>
      <c r="C86" s="144" t="s">
        <v>0</v>
      </c>
    </row>
    <row r="87" spans="1:3" x14ac:dyDescent="0.25">
      <c r="A87" s="905"/>
      <c r="B87" s="145">
        <v>753332</v>
      </c>
      <c r="C87" s="145">
        <f t="shared" ref="C87:C89" si="3">B87-B86</f>
        <v>6664</v>
      </c>
    </row>
    <row r="88" spans="1:3" x14ac:dyDescent="0.25">
      <c r="A88" s="905"/>
      <c r="B88" s="145">
        <v>768000</v>
      </c>
      <c r="C88" s="145">
        <f t="shared" si="3"/>
        <v>14668</v>
      </c>
    </row>
    <row r="89" spans="1:3" x14ac:dyDescent="0.25">
      <c r="A89" s="905"/>
      <c r="B89" s="145">
        <v>791001</v>
      </c>
      <c r="C89" s="145">
        <f t="shared" si="3"/>
        <v>23001</v>
      </c>
    </row>
  </sheetData>
  <mergeCells count="6">
    <mergeCell ref="A86:A89"/>
    <mergeCell ref="A7:A8"/>
    <mergeCell ref="A9:A40"/>
    <mergeCell ref="A41:A58"/>
    <mergeCell ref="A59:A75"/>
    <mergeCell ref="A76:A8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5BF52-F728-4D31-927D-BC315FE9756C}">
  <dimension ref="A1:H86"/>
  <sheetViews>
    <sheetView topLeftCell="A60" workbookViewId="0"/>
  </sheetViews>
  <sheetFormatPr baseColWidth="10" defaultColWidth="11.42578125" defaultRowHeight="15" x14ac:dyDescent="0.25"/>
  <cols>
    <col min="1" max="1" width="14.42578125" style="14" customWidth="1"/>
    <col min="2" max="3" width="11.42578125" style="14"/>
    <col min="4" max="4" width="14.42578125" style="67" customWidth="1"/>
    <col min="5" max="5" width="11.42578125" style="14"/>
    <col min="6" max="6" width="15.42578125" style="14" customWidth="1"/>
    <col min="7" max="16384" width="11.42578125" style="14"/>
  </cols>
  <sheetData>
    <row r="1" spans="1:8" ht="18.75" x14ac:dyDescent="0.25">
      <c r="A1" s="13" t="s">
        <v>189</v>
      </c>
    </row>
    <row r="2" spans="1:8" x14ac:dyDescent="0.25">
      <c r="B2" s="66"/>
    </row>
    <row r="3" spans="1:8" ht="15.75" thickBot="1" x14ac:dyDescent="0.3">
      <c r="A3" s="42" t="s">
        <v>188</v>
      </c>
      <c r="B3" s="66"/>
    </row>
    <row r="4" spans="1:8" ht="15.75" thickBot="1" x14ac:dyDescent="0.3">
      <c r="A4" s="139" t="s">
        <v>187</v>
      </c>
      <c r="B4" s="141">
        <f>'Rast Global'!E8</f>
        <v>24250.080000000002</v>
      </c>
      <c r="C4" s="137" t="s">
        <v>186</v>
      </c>
    </row>
    <row r="5" spans="1:8" ht="15.75" thickBot="1" x14ac:dyDescent="0.3">
      <c r="A5" s="139" t="s">
        <v>185</v>
      </c>
      <c r="B5" s="140">
        <f>'Rast Global'!F8</f>
        <v>2016667</v>
      </c>
      <c r="C5" s="137"/>
    </row>
    <row r="6" spans="1:8" ht="15.75" thickBot="1" x14ac:dyDescent="0.3">
      <c r="A6" s="139" t="s">
        <v>184</v>
      </c>
      <c r="B6" s="138">
        <f>'Rast Global'!D8</f>
        <v>60</v>
      </c>
      <c r="C6" s="137" t="s">
        <v>183</v>
      </c>
    </row>
    <row r="7" spans="1:8" ht="60.75" thickBot="1" x14ac:dyDescent="0.3">
      <c r="A7" s="136" t="s">
        <v>182</v>
      </c>
      <c r="B7" s="135" t="s">
        <v>181</v>
      </c>
      <c r="C7" s="135" t="s">
        <v>180</v>
      </c>
      <c r="D7" s="31" t="s">
        <v>179</v>
      </c>
      <c r="E7" s="134" t="s">
        <v>178</v>
      </c>
      <c r="F7" s="134" t="s">
        <v>177</v>
      </c>
      <c r="G7" s="134" t="s">
        <v>176</v>
      </c>
    </row>
    <row r="8" spans="1:8" x14ac:dyDescent="0.25">
      <c r="A8" s="909">
        <v>100</v>
      </c>
      <c r="B8" s="906">
        <v>2564083</v>
      </c>
      <c r="C8" s="906">
        <v>1680</v>
      </c>
      <c r="D8" s="130" t="s">
        <v>175</v>
      </c>
      <c r="E8" s="129" t="s">
        <v>0</v>
      </c>
      <c r="F8" s="128">
        <v>57000</v>
      </c>
      <c r="G8" s="115" t="s">
        <v>0</v>
      </c>
      <c r="H8" s="142" t="str">
        <f>IF(F8&gt;F9,"ERROR!!!","ok")</f>
        <v>ok</v>
      </c>
    </row>
    <row r="9" spans="1:8" x14ac:dyDescent="0.25">
      <c r="A9" s="910"/>
      <c r="B9" s="907"/>
      <c r="C9" s="907"/>
      <c r="D9" s="68" t="s">
        <v>174</v>
      </c>
      <c r="E9" s="123" t="s">
        <v>0</v>
      </c>
      <c r="F9" s="122">
        <f>F10-A$8/2</f>
        <v>57045.04</v>
      </c>
      <c r="G9" s="111" t="s">
        <v>0</v>
      </c>
    </row>
    <row r="10" spans="1:8" x14ac:dyDescent="0.25">
      <c r="A10" s="910"/>
      <c r="B10" s="907"/>
      <c r="C10" s="907"/>
      <c r="D10" s="126">
        <v>0</v>
      </c>
      <c r="E10" s="44">
        <f>B$8+C$8*D10</f>
        <v>2564083</v>
      </c>
      <c r="F10" s="112">
        <f>$B$4+(E10-$B$5)*$B$6/1000</f>
        <v>57095.040000000001</v>
      </c>
      <c r="G10" s="127" t="s">
        <v>0</v>
      </c>
    </row>
    <row r="11" spans="1:8" x14ac:dyDescent="0.25">
      <c r="A11" s="910"/>
      <c r="B11" s="907"/>
      <c r="C11" s="907"/>
      <c r="D11" s="68">
        <f>D10+1</f>
        <v>1</v>
      </c>
      <c r="E11" s="44">
        <f>B$8+C$8*D11</f>
        <v>2565763</v>
      </c>
      <c r="F11" s="112">
        <f>$B$4+(E11-$B$5)*$B$6/1000</f>
        <v>57195.840000000004</v>
      </c>
      <c r="G11" s="125">
        <f>F11-F10</f>
        <v>100.80000000000291</v>
      </c>
    </row>
    <row r="12" spans="1:8" x14ac:dyDescent="0.25">
      <c r="A12" s="910"/>
      <c r="B12" s="907"/>
      <c r="C12" s="907"/>
      <c r="D12" s="68">
        <f>D11+1</f>
        <v>2</v>
      </c>
      <c r="E12" s="44">
        <f>B$8+C$8*D12</f>
        <v>2567443</v>
      </c>
      <c r="F12" s="112">
        <f>$B$4+(E12-$B$5)*$B$6/1000</f>
        <v>57296.639999999999</v>
      </c>
      <c r="G12" s="125">
        <f>F12-F11</f>
        <v>100.79999999999563</v>
      </c>
    </row>
    <row r="13" spans="1:8" x14ac:dyDescent="0.25">
      <c r="A13" s="910"/>
      <c r="B13" s="907"/>
      <c r="C13" s="907"/>
      <c r="D13" s="46" t="s">
        <v>173</v>
      </c>
      <c r="E13" s="54" t="s">
        <v>173</v>
      </c>
      <c r="F13" s="54" t="s">
        <v>173</v>
      </c>
      <c r="G13" s="127" t="s">
        <v>173</v>
      </c>
    </row>
    <row r="14" spans="1:8" x14ac:dyDescent="0.25">
      <c r="A14" s="910"/>
      <c r="B14" s="907"/>
      <c r="C14" s="907"/>
      <c r="D14" s="68">
        <f>D15-1</f>
        <v>135</v>
      </c>
      <c r="E14" s="44">
        <f>B$8+C$8*D14</f>
        <v>2790883</v>
      </c>
      <c r="F14" s="112">
        <f>$B$4+(E14-$B$5)*$B$6/1000</f>
        <v>70703.040000000008</v>
      </c>
      <c r="G14" s="127" t="s">
        <v>0</v>
      </c>
    </row>
    <row r="15" spans="1:8" x14ac:dyDescent="0.25">
      <c r="A15" s="910"/>
      <c r="B15" s="907"/>
      <c r="C15" s="907"/>
      <c r="D15" s="68">
        <f>D16-1</f>
        <v>136</v>
      </c>
      <c r="E15" s="44">
        <f>B$8+C$8*D15</f>
        <v>2792563</v>
      </c>
      <c r="F15" s="112">
        <f>$B$4+(E15-$B$5)*$B$6/1000</f>
        <v>70803.839999999997</v>
      </c>
      <c r="G15" s="125">
        <f>F15-F14</f>
        <v>100.79999999998836</v>
      </c>
    </row>
    <row r="16" spans="1:8" x14ac:dyDescent="0.25">
      <c r="A16" s="910"/>
      <c r="B16" s="907"/>
      <c r="C16" s="907"/>
      <c r="D16" s="126">
        <v>137</v>
      </c>
      <c r="E16" s="44">
        <f>B$8+C$8*D16</f>
        <v>2794243</v>
      </c>
      <c r="F16" s="112">
        <f>$B$4+(E16-$B$5)*$B$6/1000</f>
        <v>70904.639999999999</v>
      </c>
      <c r="G16" s="125">
        <f>F16-F15</f>
        <v>100.80000000000291</v>
      </c>
    </row>
    <row r="17" spans="1:8" x14ac:dyDescent="0.25">
      <c r="A17" s="910"/>
      <c r="B17" s="907"/>
      <c r="C17" s="907"/>
      <c r="D17" s="124" t="s">
        <v>172</v>
      </c>
      <c r="E17" s="123" t="s">
        <v>0</v>
      </c>
      <c r="F17" s="122">
        <f>F16+A$8/2</f>
        <v>70954.64</v>
      </c>
      <c r="G17" s="111" t="s">
        <v>0</v>
      </c>
    </row>
    <row r="18" spans="1:8" ht="15.75" thickBot="1" x14ac:dyDescent="0.3">
      <c r="A18" s="911"/>
      <c r="B18" s="908"/>
      <c r="C18" s="908"/>
      <c r="D18" s="133" t="s">
        <v>171</v>
      </c>
      <c r="E18" s="132" t="s">
        <v>0</v>
      </c>
      <c r="F18" s="131">
        <v>71000</v>
      </c>
      <c r="G18" s="107" t="s">
        <v>0</v>
      </c>
      <c r="H18" s="142" t="str">
        <f>IF(F17&gt;F18,"ERROR!!!","ok")</f>
        <v>ok</v>
      </c>
    </row>
    <row r="19" spans="1:8" x14ac:dyDescent="0.25">
      <c r="A19" s="909">
        <v>400</v>
      </c>
      <c r="B19" s="906">
        <v>2566603</v>
      </c>
      <c r="C19" s="906">
        <v>6720</v>
      </c>
      <c r="D19" s="130" t="s">
        <v>175</v>
      </c>
      <c r="E19" s="129" t="s">
        <v>0</v>
      </c>
      <c r="F19" s="128">
        <v>57000</v>
      </c>
      <c r="G19" s="115" t="s">
        <v>0</v>
      </c>
      <c r="H19" s="142" t="str">
        <f>IF(F19&gt;F20,"ERROR!!!","ok")</f>
        <v>ok</v>
      </c>
    </row>
    <row r="20" spans="1:8" x14ac:dyDescent="0.25">
      <c r="A20" s="910"/>
      <c r="B20" s="907"/>
      <c r="C20" s="907"/>
      <c r="D20" s="68" t="s">
        <v>174</v>
      </c>
      <c r="E20" s="123" t="s">
        <v>0</v>
      </c>
      <c r="F20" s="122">
        <f>F21-A$19/2</f>
        <v>57046.240000000005</v>
      </c>
      <c r="G20" s="111" t="s">
        <v>0</v>
      </c>
    </row>
    <row r="21" spans="1:8" x14ac:dyDescent="0.25">
      <c r="A21" s="910"/>
      <c r="B21" s="907"/>
      <c r="C21" s="907"/>
      <c r="D21" s="126">
        <v>0</v>
      </c>
      <c r="E21" s="44">
        <f>B$19+C$19*D21</f>
        <v>2566603</v>
      </c>
      <c r="F21" s="112">
        <f>$B$4+(E21-$B$5)*$B$6/1000</f>
        <v>57246.240000000005</v>
      </c>
      <c r="G21" s="127" t="s">
        <v>0</v>
      </c>
    </row>
    <row r="22" spans="1:8" x14ac:dyDescent="0.25">
      <c r="A22" s="910"/>
      <c r="B22" s="907"/>
      <c r="C22" s="907"/>
      <c r="D22" s="68">
        <f>D21+1</f>
        <v>1</v>
      </c>
      <c r="E22" s="44">
        <f>B$19+C$19*D22</f>
        <v>2573323</v>
      </c>
      <c r="F22" s="112">
        <f>$B$4+(E22-$B$5)*$B$6/1000</f>
        <v>57649.440000000002</v>
      </c>
      <c r="G22" s="125">
        <f>F22-F21</f>
        <v>403.19999999999709</v>
      </c>
    </row>
    <row r="23" spans="1:8" x14ac:dyDescent="0.25">
      <c r="A23" s="910"/>
      <c r="B23" s="907"/>
      <c r="C23" s="907"/>
      <c r="D23" s="68">
        <f>D22+1</f>
        <v>2</v>
      </c>
      <c r="E23" s="44">
        <f>B$19+C$19*D23</f>
        <v>2580043</v>
      </c>
      <c r="F23" s="112">
        <f>$B$4+(E23-$B$5)*$B$6/1000</f>
        <v>58052.639999999999</v>
      </c>
      <c r="G23" s="125">
        <f>F23-F22</f>
        <v>403.19999999999709</v>
      </c>
    </row>
    <row r="24" spans="1:8" x14ac:dyDescent="0.25">
      <c r="A24" s="910"/>
      <c r="B24" s="907"/>
      <c r="C24" s="907"/>
      <c r="D24" s="46" t="s">
        <v>173</v>
      </c>
      <c r="E24" s="54" t="s">
        <v>173</v>
      </c>
      <c r="F24" s="54" t="s">
        <v>173</v>
      </c>
      <c r="G24" s="127" t="s">
        <v>173</v>
      </c>
    </row>
    <row r="25" spans="1:8" x14ac:dyDescent="0.25">
      <c r="A25" s="910"/>
      <c r="B25" s="907"/>
      <c r="C25" s="907"/>
      <c r="D25" s="68">
        <f>D26-1</f>
        <v>31</v>
      </c>
      <c r="E25" s="44">
        <f>B$19+C$19*D25</f>
        <v>2774923</v>
      </c>
      <c r="F25" s="112">
        <f>$B$4+(E25-$B$5)*$B$6/1000</f>
        <v>69745.440000000002</v>
      </c>
      <c r="G25" s="127" t="s">
        <v>0</v>
      </c>
    </row>
    <row r="26" spans="1:8" x14ac:dyDescent="0.25">
      <c r="A26" s="910"/>
      <c r="B26" s="907"/>
      <c r="C26" s="907"/>
      <c r="D26" s="68">
        <f>D27-1</f>
        <v>32</v>
      </c>
      <c r="E26" s="44">
        <f>B$19+C$19*D26</f>
        <v>2781643</v>
      </c>
      <c r="F26" s="112">
        <f>$B$4+(E26-$B$5)*$B$6/1000</f>
        <v>70148.639999999999</v>
      </c>
      <c r="G26" s="125">
        <f>F26-F25</f>
        <v>403.19999999999709</v>
      </c>
    </row>
    <row r="27" spans="1:8" x14ac:dyDescent="0.25">
      <c r="A27" s="910"/>
      <c r="B27" s="907"/>
      <c r="C27" s="907"/>
      <c r="D27" s="126">
        <v>33</v>
      </c>
      <c r="E27" s="44">
        <f>B$19+C$19*D27</f>
        <v>2788363</v>
      </c>
      <c r="F27" s="112">
        <f>$B$4+(E27-$B$5)*$B$6/1000</f>
        <v>70551.839999999997</v>
      </c>
      <c r="G27" s="125">
        <f>F27-F26</f>
        <v>403.19999999999709</v>
      </c>
    </row>
    <row r="28" spans="1:8" x14ac:dyDescent="0.25">
      <c r="A28" s="910"/>
      <c r="B28" s="907"/>
      <c r="C28" s="907"/>
      <c r="D28" s="124" t="s">
        <v>172</v>
      </c>
      <c r="E28" s="123" t="s">
        <v>0</v>
      </c>
      <c r="F28" s="122">
        <f>F27+A$19/2</f>
        <v>70751.839999999997</v>
      </c>
      <c r="G28" s="111" t="s">
        <v>0</v>
      </c>
    </row>
    <row r="29" spans="1:8" ht="15.75" thickBot="1" x14ac:dyDescent="0.3">
      <c r="A29" s="911"/>
      <c r="B29" s="908"/>
      <c r="C29" s="908"/>
      <c r="D29" s="133" t="s">
        <v>171</v>
      </c>
      <c r="E29" s="132" t="s">
        <v>0</v>
      </c>
      <c r="F29" s="131">
        <v>71000</v>
      </c>
      <c r="G29" s="107" t="s">
        <v>0</v>
      </c>
      <c r="H29" s="142" t="str">
        <f>IF(F28&gt;F29,"ERROR!!!","ok")</f>
        <v>ok</v>
      </c>
    </row>
    <row r="30" spans="1:8" x14ac:dyDescent="0.25">
      <c r="A30" s="909">
        <v>800</v>
      </c>
      <c r="B30" s="906">
        <v>2569963</v>
      </c>
      <c r="C30" s="906">
        <v>6720</v>
      </c>
      <c r="D30" s="130" t="s">
        <v>175</v>
      </c>
      <c r="E30" s="129" t="s">
        <v>0</v>
      </c>
      <c r="F30" s="128">
        <v>57000</v>
      </c>
      <c r="G30" s="115" t="s">
        <v>0</v>
      </c>
      <c r="H30" s="142" t="str">
        <f>IF(F30&gt;F31,"ERROR!!!","ok")</f>
        <v>ok</v>
      </c>
    </row>
    <row r="31" spans="1:8" x14ac:dyDescent="0.25">
      <c r="A31" s="910"/>
      <c r="B31" s="907"/>
      <c r="C31" s="907"/>
      <c r="D31" s="68" t="s">
        <v>174</v>
      </c>
      <c r="E31" s="123" t="s">
        <v>0</v>
      </c>
      <c r="F31" s="122">
        <f>F32-A$30/2</f>
        <v>57047.840000000004</v>
      </c>
      <c r="G31" s="111" t="s">
        <v>0</v>
      </c>
    </row>
    <row r="32" spans="1:8" x14ac:dyDescent="0.25">
      <c r="A32" s="910"/>
      <c r="B32" s="907"/>
      <c r="C32" s="907"/>
      <c r="D32" s="126">
        <v>0</v>
      </c>
      <c r="E32" s="44">
        <f>B$30+C$30*D32</f>
        <v>2569963</v>
      </c>
      <c r="F32" s="112">
        <f>$B$4+(E32-$B$5)*$B$6/1000</f>
        <v>57447.840000000004</v>
      </c>
      <c r="G32" s="127" t="s">
        <v>0</v>
      </c>
    </row>
    <row r="33" spans="1:8" x14ac:dyDescent="0.25">
      <c r="A33" s="910"/>
      <c r="B33" s="907"/>
      <c r="C33" s="907"/>
      <c r="D33" s="68">
        <f>D32+1</f>
        <v>1</v>
      </c>
      <c r="E33" s="44">
        <f>B$30+C$30*D33</f>
        <v>2576683</v>
      </c>
      <c r="F33" s="112">
        <f>$B$4+(E33-$B$5)*$B$6/1000</f>
        <v>57851.040000000001</v>
      </c>
      <c r="G33" s="125">
        <f>F33-F32</f>
        <v>403.19999999999709</v>
      </c>
    </row>
    <row r="34" spans="1:8" x14ac:dyDescent="0.25">
      <c r="A34" s="910"/>
      <c r="B34" s="907"/>
      <c r="C34" s="907"/>
      <c r="D34" s="68">
        <f>D33+1</f>
        <v>2</v>
      </c>
      <c r="E34" s="44">
        <f>B$30+C$30*D34</f>
        <v>2583403</v>
      </c>
      <c r="F34" s="112">
        <f>$B$4+(E34-$B$5)*$B$6/1000</f>
        <v>58254.240000000005</v>
      </c>
      <c r="G34" s="125">
        <f>F34-F33</f>
        <v>403.20000000000437</v>
      </c>
    </row>
    <row r="35" spans="1:8" x14ac:dyDescent="0.25">
      <c r="A35" s="910"/>
      <c r="B35" s="907"/>
      <c r="C35" s="907"/>
      <c r="D35" s="46" t="s">
        <v>173</v>
      </c>
      <c r="E35" s="54" t="s">
        <v>173</v>
      </c>
      <c r="F35" s="54" t="s">
        <v>173</v>
      </c>
      <c r="G35" s="127" t="s">
        <v>173</v>
      </c>
    </row>
    <row r="36" spans="1:8" x14ac:dyDescent="0.25">
      <c r="A36" s="910"/>
      <c r="B36" s="907"/>
      <c r="C36" s="907"/>
      <c r="D36" s="68">
        <f>D37-1</f>
        <v>30</v>
      </c>
      <c r="E36" s="44">
        <f>B$30+C$30*D36</f>
        <v>2771563</v>
      </c>
      <c r="F36" s="112">
        <f>$B$4+(E36-$B$5)*$B$6/1000</f>
        <v>69543.839999999997</v>
      </c>
      <c r="G36" s="127" t="s">
        <v>0</v>
      </c>
    </row>
    <row r="37" spans="1:8" x14ac:dyDescent="0.25">
      <c r="A37" s="910"/>
      <c r="B37" s="907"/>
      <c r="C37" s="907"/>
      <c r="D37" s="68">
        <f>D38-1</f>
        <v>31</v>
      </c>
      <c r="E37" s="44">
        <f>B$30+C$30*D37</f>
        <v>2778283</v>
      </c>
      <c r="F37" s="112">
        <f>$B$4+(E37-$B$5)*$B$6/1000</f>
        <v>69947.040000000008</v>
      </c>
      <c r="G37" s="125">
        <f>F37-F36</f>
        <v>403.20000000001164</v>
      </c>
    </row>
    <row r="38" spans="1:8" x14ac:dyDescent="0.25">
      <c r="A38" s="910"/>
      <c r="B38" s="907"/>
      <c r="C38" s="907"/>
      <c r="D38" s="126">
        <v>32</v>
      </c>
      <c r="E38" s="44">
        <f>B$30+C$30*D38</f>
        <v>2785003</v>
      </c>
      <c r="F38" s="112">
        <f>$B$4+(E38-$B$5)*$B$6/1000</f>
        <v>70350.240000000005</v>
      </c>
      <c r="G38" s="125">
        <f>F38-F37</f>
        <v>403.19999999999709</v>
      </c>
    </row>
    <row r="39" spans="1:8" x14ac:dyDescent="0.25">
      <c r="A39" s="910"/>
      <c r="B39" s="907"/>
      <c r="C39" s="907"/>
      <c r="D39" s="124" t="s">
        <v>172</v>
      </c>
      <c r="E39" s="123" t="s">
        <v>0</v>
      </c>
      <c r="F39" s="122">
        <f>F38+A$30/2</f>
        <v>70750.240000000005</v>
      </c>
      <c r="G39" s="111" t="s">
        <v>0</v>
      </c>
    </row>
    <row r="40" spans="1:8" ht="15.75" thickBot="1" x14ac:dyDescent="0.3">
      <c r="A40" s="911"/>
      <c r="B40" s="908"/>
      <c r="C40" s="908"/>
      <c r="D40" s="133" t="s">
        <v>171</v>
      </c>
      <c r="E40" s="132" t="s">
        <v>0</v>
      </c>
      <c r="F40" s="131">
        <v>71000</v>
      </c>
      <c r="G40" s="107" t="s">
        <v>0</v>
      </c>
      <c r="H40" s="142" t="str">
        <f>IF(F39&gt;F40,"ERROR!!!","ok")</f>
        <v>ok</v>
      </c>
    </row>
    <row r="41" spans="1:8" x14ac:dyDescent="0.25">
      <c r="A41" s="906">
        <v>1600</v>
      </c>
      <c r="B41" s="906">
        <v>2576683</v>
      </c>
      <c r="C41" s="906">
        <v>6720</v>
      </c>
      <c r="D41" s="130" t="s">
        <v>175</v>
      </c>
      <c r="E41" s="129" t="s">
        <v>0</v>
      </c>
      <c r="F41" s="128">
        <v>57000</v>
      </c>
      <c r="G41" s="115" t="s">
        <v>0</v>
      </c>
      <c r="H41" s="142" t="str">
        <f>IF(F41&gt;F42,"ERROR!!!","ok")</f>
        <v>ok</v>
      </c>
    </row>
    <row r="42" spans="1:8" x14ac:dyDescent="0.25">
      <c r="A42" s="907"/>
      <c r="B42" s="907"/>
      <c r="C42" s="907"/>
      <c r="D42" s="68" t="s">
        <v>174</v>
      </c>
      <c r="E42" s="123" t="s">
        <v>0</v>
      </c>
      <c r="F42" s="122">
        <f>F43-A$41/2</f>
        <v>57051.040000000001</v>
      </c>
      <c r="G42" s="111" t="s">
        <v>0</v>
      </c>
    </row>
    <row r="43" spans="1:8" x14ac:dyDescent="0.25">
      <c r="A43" s="907"/>
      <c r="B43" s="907"/>
      <c r="C43" s="907"/>
      <c r="D43" s="126">
        <v>0</v>
      </c>
      <c r="E43" s="44">
        <f>B$41+C$41*D43</f>
        <v>2576683</v>
      </c>
      <c r="F43" s="112">
        <f>$B$4+(E43-$B$5)*$B$6/1000</f>
        <v>57851.040000000001</v>
      </c>
      <c r="G43" s="127" t="s">
        <v>0</v>
      </c>
    </row>
    <row r="44" spans="1:8" x14ac:dyDescent="0.25">
      <c r="A44" s="907"/>
      <c r="B44" s="907"/>
      <c r="C44" s="907"/>
      <c r="D44" s="68">
        <f>D43+1</f>
        <v>1</v>
      </c>
      <c r="E44" s="44">
        <f>B$41+C$41*D44</f>
        <v>2583403</v>
      </c>
      <c r="F44" s="112">
        <f>$B$4+(E44-$B$5)*$B$6/1000</f>
        <v>58254.240000000005</v>
      </c>
      <c r="G44" s="125">
        <f>F44-F43</f>
        <v>403.20000000000437</v>
      </c>
    </row>
    <row r="45" spans="1:8" x14ac:dyDescent="0.25">
      <c r="A45" s="907"/>
      <c r="B45" s="907"/>
      <c r="C45" s="907"/>
      <c r="D45" s="68">
        <f>D44+1</f>
        <v>2</v>
      </c>
      <c r="E45" s="44">
        <f>B$41+C$41*D45</f>
        <v>2590123</v>
      </c>
      <c r="F45" s="112">
        <f>$B$4+(E45-$B$5)*$B$6/1000</f>
        <v>58657.440000000002</v>
      </c>
      <c r="G45" s="125">
        <f>F45-F44</f>
        <v>403.19999999999709</v>
      </c>
    </row>
    <row r="46" spans="1:8" x14ac:dyDescent="0.25">
      <c r="A46" s="907"/>
      <c r="B46" s="907"/>
      <c r="C46" s="907"/>
      <c r="D46" s="46" t="s">
        <v>173</v>
      </c>
      <c r="E46" s="54" t="s">
        <v>173</v>
      </c>
      <c r="F46" s="54" t="s">
        <v>173</v>
      </c>
      <c r="G46" s="127" t="s">
        <v>173</v>
      </c>
    </row>
    <row r="47" spans="1:8" x14ac:dyDescent="0.25">
      <c r="A47" s="907"/>
      <c r="B47" s="907"/>
      <c r="C47" s="907"/>
      <c r="D47" s="68">
        <f>D48-1</f>
        <v>28</v>
      </c>
      <c r="E47" s="44">
        <f>B$41+C$41*D47</f>
        <v>2764843</v>
      </c>
      <c r="F47" s="112">
        <f>$B$4+(E47-$B$5)*$B$6/1000</f>
        <v>69140.639999999999</v>
      </c>
      <c r="G47" s="127" t="s">
        <v>0</v>
      </c>
    </row>
    <row r="48" spans="1:8" x14ac:dyDescent="0.25">
      <c r="A48" s="907"/>
      <c r="B48" s="907"/>
      <c r="C48" s="907"/>
      <c r="D48" s="68">
        <f>D49-1</f>
        <v>29</v>
      </c>
      <c r="E48" s="44">
        <f>B$41+C$41*D48</f>
        <v>2771563</v>
      </c>
      <c r="F48" s="112">
        <f>$B$4+(E48-$B$5)*$B$6/1000</f>
        <v>69543.839999999997</v>
      </c>
      <c r="G48" s="125">
        <f>F48-F47</f>
        <v>403.19999999999709</v>
      </c>
    </row>
    <row r="49" spans="1:8" x14ac:dyDescent="0.25">
      <c r="A49" s="907"/>
      <c r="B49" s="907"/>
      <c r="C49" s="907"/>
      <c r="D49" s="126">
        <v>30</v>
      </c>
      <c r="E49" s="44">
        <f>B$41+C$41*D49</f>
        <v>2778283</v>
      </c>
      <c r="F49" s="112">
        <f>$B$4+(E49-$B$5)*$B$6/1000</f>
        <v>69947.040000000008</v>
      </c>
      <c r="G49" s="125">
        <f>F49-F48</f>
        <v>403.20000000001164</v>
      </c>
    </row>
    <row r="50" spans="1:8" x14ac:dyDescent="0.25">
      <c r="A50" s="907"/>
      <c r="B50" s="907"/>
      <c r="C50" s="907"/>
      <c r="D50" s="124" t="s">
        <v>172</v>
      </c>
      <c r="E50" s="123" t="s">
        <v>0</v>
      </c>
      <c r="F50" s="122">
        <f>F49+A$41/2</f>
        <v>70747.040000000008</v>
      </c>
      <c r="G50" s="111" t="s">
        <v>0</v>
      </c>
    </row>
    <row r="51" spans="1:8" ht="15.75" thickBot="1" x14ac:dyDescent="0.3">
      <c r="A51" s="908"/>
      <c r="B51" s="908"/>
      <c r="C51" s="908"/>
      <c r="D51" s="133" t="s">
        <v>171</v>
      </c>
      <c r="E51" s="132" t="s">
        <v>0</v>
      </c>
      <c r="F51" s="131">
        <v>71000</v>
      </c>
      <c r="G51" s="107" t="s">
        <v>0</v>
      </c>
      <c r="H51" s="142" t="str">
        <f>IF(F50&gt;F51,"ERROR!!!","ok")</f>
        <v>ok</v>
      </c>
    </row>
    <row r="52" spans="1:8" x14ac:dyDescent="0.25">
      <c r="A52" s="912">
        <v>2000</v>
      </c>
      <c r="B52" s="915">
        <v>2580043</v>
      </c>
      <c r="C52" s="915">
        <v>6720</v>
      </c>
      <c r="D52" s="130" t="s">
        <v>175</v>
      </c>
      <c r="E52" s="129" t="s">
        <v>0</v>
      </c>
      <c r="F52" s="128">
        <v>57000</v>
      </c>
      <c r="G52" s="115" t="s">
        <v>0</v>
      </c>
      <c r="H52" s="142" t="str">
        <f>IF(F52&gt;F53,"ERROR!!!","ok")</f>
        <v>ok</v>
      </c>
    </row>
    <row r="53" spans="1:8" x14ac:dyDescent="0.25">
      <c r="A53" s="913"/>
      <c r="B53" s="916"/>
      <c r="C53" s="916"/>
      <c r="D53" s="68" t="s">
        <v>174</v>
      </c>
      <c r="E53" s="123" t="s">
        <v>0</v>
      </c>
      <c r="F53" s="122">
        <f>F54-A$52/2</f>
        <v>57052.639999999999</v>
      </c>
      <c r="G53" s="111" t="s">
        <v>0</v>
      </c>
    </row>
    <row r="54" spans="1:8" x14ac:dyDescent="0.25">
      <c r="A54" s="913"/>
      <c r="B54" s="916"/>
      <c r="C54" s="916"/>
      <c r="D54" s="126">
        <v>0</v>
      </c>
      <c r="E54" s="44">
        <f>B$52+C$52*D54</f>
        <v>2580043</v>
      </c>
      <c r="F54" s="112">
        <f>$B$4+(E54-$B$5)*$B$6/1000</f>
        <v>58052.639999999999</v>
      </c>
      <c r="G54" s="127" t="s">
        <v>0</v>
      </c>
    </row>
    <row r="55" spans="1:8" x14ac:dyDescent="0.25">
      <c r="A55" s="913"/>
      <c r="B55" s="916"/>
      <c r="C55" s="916"/>
      <c r="D55" s="68">
        <f>D54+1</f>
        <v>1</v>
      </c>
      <c r="E55" s="44">
        <f>B$52+C$52*D55</f>
        <v>2586763</v>
      </c>
      <c r="F55" s="112">
        <f>$B$4+(E55-$B$5)*$B$6/1000</f>
        <v>58455.840000000004</v>
      </c>
      <c r="G55" s="125">
        <f>F55-F54</f>
        <v>403.20000000000437</v>
      </c>
    </row>
    <row r="56" spans="1:8" x14ac:dyDescent="0.25">
      <c r="A56" s="913"/>
      <c r="B56" s="916"/>
      <c r="C56" s="916"/>
      <c r="D56" s="68">
        <f>D55+1</f>
        <v>2</v>
      </c>
      <c r="E56" s="44">
        <f>B$52+C$52*D56</f>
        <v>2593483</v>
      </c>
      <c r="F56" s="112">
        <f>$B$4+(E56-$B$5)*$B$6/1000</f>
        <v>58859.040000000001</v>
      </c>
      <c r="G56" s="125">
        <f>F56-F55</f>
        <v>403.19999999999709</v>
      </c>
    </row>
    <row r="57" spans="1:8" x14ac:dyDescent="0.25">
      <c r="A57" s="913"/>
      <c r="B57" s="916"/>
      <c r="C57" s="916"/>
      <c r="D57" s="46" t="s">
        <v>173</v>
      </c>
      <c r="E57" s="54" t="s">
        <v>173</v>
      </c>
      <c r="F57" s="54" t="s">
        <v>173</v>
      </c>
      <c r="G57" s="127" t="s">
        <v>173</v>
      </c>
    </row>
    <row r="58" spans="1:8" x14ac:dyDescent="0.25">
      <c r="A58" s="913"/>
      <c r="B58" s="916"/>
      <c r="C58" s="916"/>
      <c r="D58" s="68">
        <f>D59-1</f>
        <v>27</v>
      </c>
      <c r="E58" s="44">
        <f>B$52+C$52*D58</f>
        <v>2761483</v>
      </c>
      <c r="F58" s="112">
        <f>$B$4+(E58-$B$5)*$B$6/1000</f>
        <v>68939.040000000008</v>
      </c>
      <c r="G58" s="127" t="s">
        <v>0</v>
      </c>
    </row>
    <row r="59" spans="1:8" x14ac:dyDescent="0.25">
      <c r="A59" s="913"/>
      <c r="B59" s="916"/>
      <c r="C59" s="916"/>
      <c r="D59" s="68">
        <f>D60-1</f>
        <v>28</v>
      </c>
      <c r="E59" s="44">
        <f>B$52+C$52*D59</f>
        <v>2768203</v>
      </c>
      <c r="F59" s="112">
        <f>$B$4+(E59-$B$5)*$B$6/1000</f>
        <v>69342.240000000005</v>
      </c>
      <c r="G59" s="125">
        <f>F59-F58</f>
        <v>403.19999999999709</v>
      </c>
    </row>
    <row r="60" spans="1:8" x14ac:dyDescent="0.25">
      <c r="A60" s="913"/>
      <c r="B60" s="916"/>
      <c r="C60" s="916"/>
      <c r="D60" s="126">
        <v>29</v>
      </c>
      <c r="E60" s="44">
        <f>B$52+C$52*D60</f>
        <v>2774923</v>
      </c>
      <c r="F60" s="112">
        <f>$B$4+(E60-$B$5)*$B$6/1000</f>
        <v>69745.440000000002</v>
      </c>
      <c r="G60" s="125">
        <f>F60-F59</f>
        <v>403.19999999999709</v>
      </c>
    </row>
    <row r="61" spans="1:8" x14ac:dyDescent="0.25">
      <c r="A61" s="913"/>
      <c r="B61" s="916"/>
      <c r="C61" s="916"/>
      <c r="D61" s="124" t="s">
        <v>172</v>
      </c>
      <c r="E61" s="123" t="s">
        <v>0</v>
      </c>
      <c r="F61" s="122">
        <f>F60+A$52/2</f>
        <v>70745.440000000002</v>
      </c>
      <c r="G61" s="111" t="s">
        <v>0</v>
      </c>
    </row>
    <row r="62" spans="1:8" ht="15.75" thickBot="1" x14ac:dyDescent="0.3">
      <c r="A62" s="913"/>
      <c r="B62" s="916"/>
      <c r="C62" s="916"/>
      <c r="D62" s="121" t="s">
        <v>171</v>
      </c>
      <c r="E62" s="97" t="s">
        <v>0</v>
      </c>
      <c r="F62" s="120">
        <v>71000</v>
      </c>
      <c r="G62" s="119" t="s">
        <v>0</v>
      </c>
      <c r="H62" s="142" t="str">
        <f>IF(F61&gt;F62,"ERROR!!!","ok")</f>
        <v>ok</v>
      </c>
    </row>
    <row r="63" spans="1:8" x14ac:dyDescent="0.25">
      <c r="A63" s="913"/>
      <c r="B63" s="916"/>
      <c r="C63" s="918"/>
      <c r="D63" s="118">
        <f>(E63-B$52)/C$52</f>
        <v>0.75</v>
      </c>
      <c r="E63" s="117">
        <f>2585083</f>
        <v>2585083</v>
      </c>
      <c r="F63" s="116">
        <f>$B$4+(E63-$B$5)*$B$6/1000</f>
        <v>58355.040000000001</v>
      </c>
      <c r="G63" s="115" t="s">
        <v>0</v>
      </c>
    </row>
    <row r="64" spans="1:8" x14ac:dyDescent="0.25">
      <c r="A64" s="913"/>
      <c r="B64" s="916"/>
      <c r="C64" s="918"/>
      <c r="D64" s="114">
        <f>(E64-B$52)/C$52</f>
        <v>11.25</v>
      </c>
      <c r="E64" s="113">
        <f>2655643</f>
        <v>2655643</v>
      </c>
      <c r="F64" s="112">
        <f>$B$4+(E64-$B$5)*$B$6/1000</f>
        <v>62588.639999999999</v>
      </c>
      <c r="G64" s="111" t="s">
        <v>0</v>
      </c>
    </row>
    <row r="65" spans="1:7" x14ac:dyDescent="0.25">
      <c r="A65" s="913"/>
      <c r="B65" s="916"/>
      <c r="C65" s="918"/>
      <c r="D65" s="114">
        <f>(E65-B$52)/C$52</f>
        <v>16.75</v>
      </c>
      <c r="E65" s="113">
        <v>2692603</v>
      </c>
      <c r="F65" s="112">
        <f>$B$4+(E65-$B$5)*$B$6/1000</f>
        <v>64806.240000000005</v>
      </c>
      <c r="G65" s="111" t="s">
        <v>0</v>
      </c>
    </row>
    <row r="66" spans="1:7" ht="15.75" thickBot="1" x14ac:dyDescent="0.3">
      <c r="A66" s="914"/>
      <c r="B66" s="917"/>
      <c r="C66" s="919"/>
      <c r="D66" s="110">
        <f>(E66-B$52)/C$52</f>
        <v>27.5</v>
      </c>
      <c r="E66" s="109">
        <v>2764843</v>
      </c>
      <c r="F66" s="108">
        <f>$B$4+(E66-$B$5)*$B$6/1000</f>
        <v>69140.639999999999</v>
      </c>
      <c r="G66" s="107" t="s">
        <v>0</v>
      </c>
    </row>
    <row r="67" spans="1:7" x14ac:dyDescent="0.25">
      <c r="A67" s="106"/>
      <c r="B67" s="106"/>
      <c r="C67" s="106"/>
      <c r="D67" s="68"/>
      <c r="E67" s="106"/>
      <c r="F67" s="106"/>
    </row>
    <row r="68" spans="1:7" x14ac:dyDescent="0.25">
      <c r="A68" s="106"/>
      <c r="B68" s="106"/>
      <c r="C68" s="106"/>
      <c r="D68" s="68"/>
      <c r="E68" s="106"/>
      <c r="F68" s="106"/>
    </row>
    <row r="69" spans="1:7" x14ac:dyDescent="0.25">
      <c r="A69" s="106"/>
      <c r="B69" s="106"/>
      <c r="C69" s="106"/>
      <c r="D69" s="68"/>
      <c r="E69" s="106"/>
      <c r="F69" s="106"/>
    </row>
    <row r="70" spans="1:7" x14ac:dyDescent="0.25">
      <c r="A70" s="106"/>
      <c r="B70" s="106"/>
      <c r="C70" s="106"/>
      <c r="D70" s="68"/>
      <c r="E70" s="106"/>
      <c r="F70" s="106"/>
    </row>
    <row r="71" spans="1:7" x14ac:dyDescent="0.25">
      <c r="A71" s="106"/>
      <c r="B71" s="106"/>
      <c r="C71" s="106"/>
      <c r="D71" s="68"/>
      <c r="E71" s="106"/>
      <c r="F71" s="106"/>
    </row>
    <row r="72" spans="1:7" x14ac:dyDescent="0.25">
      <c r="A72" s="106"/>
      <c r="B72" s="106"/>
      <c r="C72" s="106"/>
      <c r="D72" s="68"/>
      <c r="E72" s="106"/>
      <c r="F72" s="106"/>
    </row>
    <row r="73" spans="1:7" x14ac:dyDescent="0.25">
      <c r="A73" s="106"/>
      <c r="B73" s="106"/>
      <c r="C73" s="106"/>
      <c r="D73" s="68"/>
      <c r="E73" s="106"/>
      <c r="F73" s="106"/>
    </row>
    <row r="74" spans="1:7" x14ac:dyDescent="0.25">
      <c r="A74" s="106"/>
      <c r="B74" s="106"/>
      <c r="C74" s="106"/>
      <c r="D74" s="68"/>
      <c r="E74" s="106"/>
      <c r="F74" s="106"/>
    </row>
    <row r="75" spans="1:7" x14ac:dyDescent="0.25">
      <c r="A75" s="106"/>
      <c r="B75" s="106"/>
      <c r="C75" s="106"/>
      <c r="D75" s="68"/>
      <c r="E75" s="106"/>
      <c r="F75" s="106"/>
    </row>
    <row r="76" spans="1:7" x14ac:dyDescent="0.25">
      <c r="A76" s="106"/>
      <c r="B76" s="106"/>
      <c r="C76" s="106"/>
      <c r="D76" s="68"/>
      <c r="E76" s="106"/>
      <c r="F76" s="106"/>
    </row>
    <row r="77" spans="1:7" x14ac:dyDescent="0.25">
      <c r="A77" s="106"/>
      <c r="B77" s="106"/>
      <c r="C77" s="106"/>
      <c r="D77" s="68"/>
      <c r="E77" s="106"/>
      <c r="F77" s="106"/>
    </row>
    <row r="78" spans="1:7" x14ac:dyDescent="0.25">
      <c r="A78" s="106"/>
      <c r="B78" s="106"/>
      <c r="C78" s="106"/>
      <c r="D78" s="68"/>
      <c r="E78" s="106"/>
      <c r="F78" s="106"/>
    </row>
    <row r="79" spans="1:7" x14ac:dyDescent="0.25">
      <c r="A79" s="106"/>
      <c r="B79" s="106"/>
      <c r="C79" s="106"/>
      <c r="D79" s="68"/>
      <c r="E79" s="106"/>
      <c r="F79" s="106"/>
    </row>
    <row r="80" spans="1:7" x14ac:dyDescent="0.25">
      <c r="A80" s="106"/>
      <c r="B80" s="106"/>
      <c r="C80" s="106"/>
      <c r="D80" s="68"/>
      <c r="E80" s="106"/>
      <c r="F80" s="106"/>
    </row>
    <row r="81" spans="1:6" x14ac:dyDescent="0.25">
      <c r="A81" s="106"/>
      <c r="B81" s="106"/>
      <c r="C81" s="106"/>
      <c r="D81" s="68"/>
      <c r="E81" s="106"/>
      <c r="F81" s="106"/>
    </row>
    <row r="82" spans="1:6" x14ac:dyDescent="0.25">
      <c r="A82" s="106"/>
      <c r="B82" s="106"/>
      <c r="C82" s="106"/>
      <c r="D82" s="68"/>
      <c r="E82" s="106"/>
      <c r="F82" s="106"/>
    </row>
    <row r="83" spans="1:6" x14ac:dyDescent="0.25">
      <c r="A83" s="106"/>
      <c r="B83" s="106"/>
      <c r="C83" s="106"/>
      <c r="D83" s="68"/>
      <c r="E83" s="106"/>
      <c r="F83" s="106"/>
    </row>
    <row r="84" spans="1:6" x14ac:dyDescent="0.25">
      <c r="A84" s="106"/>
      <c r="B84" s="106"/>
      <c r="C84" s="106"/>
      <c r="D84" s="68"/>
      <c r="E84" s="106"/>
      <c r="F84" s="106"/>
    </row>
    <row r="85" spans="1:6" x14ac:dyDescent="0.25">
      <c r="A85" s="106"/>
      <c r="B85" s="106"/>
      <c r="C85" s="106"/>
      <c r="D85" s="68"/>
      <c r="E85" s="106"/>
      <c r="F85" s="106"/>
    </row>
    <row r="86" spans="1:6" x14ac:dyDescent="0.25">
      <c r="A86" s="106"/>
      <c r="B86" s="106"/>
      <c r="C86" s="106"/>
      <c r="D86" s="68"/>
      <c r="E86" s="106"/>
      <c r="F86" s="106"/>
    </row>
  </sheetData>
  <mergeCells count="15">
    <mergeCell ref="A52:A66"/>
    <mergeCell ref="B52:B66"/>
    <mergeCell ref="C52:C66"/>
    <mergeCell ref="A30:A40"/>
    <mergeCell ref="B30:B40"/>
    <mergeCell ref="C30:C40"/>
    <mergeCell ref="A41:A51"/>
    <mergeCell ref="B41:B51"/>
    <mergeCell ref="C41:C51"/>
    <mergeCell ref="C8:C18"/>
    <mergeCell ref="A19:A29"/>
    <mergeCell ref="B19:B29"/>
    <mergeCell ref="C19:C29"/>
    <mergeCell ref="A8:A18"/>
    <mergeCell ref="B8:B18"/>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9FE57-7D29-414C-9C96-522E323A0403}">
  <dimension ref="A1:X101"/>
  <sheetViews>
    <sheetView workbookViewId="0">
      <selection activeCell="O41" sqref="O41"/>
    </sheetView>
  </sheetViews>
  <sheetFormatPr baseColWidth="10" defaultRowHeight="15" x14ac:dyDescent="0.25"/>
  <cols>
    <col min="1" max="1" width="16.7109375" style="14" customWidth="1"/>
    <col min="2" max="2" width="9" style="14" customWidth="1"/>
    <col min="3" max="3" width="8.5703125" style="14" customWidth="1"/>
    <col min="4" max="4" width="14.7109375" style="14" customWidth="1"/>
    <col min="5" max="13" width="8" style="14" customWidth="1"/>
    <col min="14" max="14" width="8.28515625" style="14" customWidth="1"/>
    <col min="15" max="15" width="41.85546875" style="14" customWidth="1"/>
    <col min="16" max="16" width="8" style="14" customWidth="1"/>
    <col min="17" max="21" width="12" style="14" customWidth="1"/>
    <col min="22" max="16384" width="11.42578125" style="14"/>
  </cols>
  <sheetData>
    <row r="1" spans="1:10" ht="18.75" x14ac:dyDescent="0.25">
      <c r="A1" s="13" t="s">
        <v>473</v>
      </c>
    </row>
    <row r="2" spans="1:10" ht="15.75" thickBot="1" x14ac:dyDescent="0.3"/>
    <row r="3" spans="1:10" ht="15.75" thickBot="1" x14ac:dyDescent="0.3">
      <c r="A3" s="935" t="s">
        <v>474</v>
      </c>
      <c r="B3" s="936"/>
      <c r="C3" s="42"/>
    </row>
    <row r="4" spans="1:10" x14ac:dyDescent="0.25">
      <c r="A4" s="560" t="s">
        <v>475</v>
      </c>
      <c r="B4" s="561"/>
      <c r="C4" s="14" t="s">
        <v>476</v>
      </c>
    </row>
    <row r="5" spans="1:10" x14ac:dyDescent="0.25">
      <c r="A5" s="562" t="s">
        <v>477</v>
      </c>
      <c r="B5" s="563">
        <v>0.25</v>
      </c>
      <c r="C5" s="14" t="s">
        <v>478</v>
      </c>
    </row>
    <row r="6" spans="1:10" ht="15.75" thickBot="1" x14ac:dyDescent="0.3">
      <c r="A6" s="564" t="s">
        <v>179</v>
      </c>
      <c r="B6" s="565">
        <v>10</v>
      </c>
      <c r="C6" s="14" t="s">
        <v>479</v>
      </c>
    </row>
    <row r="7" spans="1:10" x14ac:dyDescent="0.25">
      <c r="A7" s="42"/>
      <c r="B7" s="52"/>
      <c r="C7" s="14" t="s">
        <v>480</v>
      </c>
    </row>
    <row r="8" spans="1:10" ht="15.75" thickBot="1" x14ac:dyDescent="0.3">
      <c r="A8" s="42"/>
      <c r="B8" s="566"/>
    </row>
    <row r="9" spans="1:10" ht="15.75" thickBot="1" x14ac:dyDescent="0.3">
      <c r="A9" s="937" t="s">
        <v>481</v>
      </c>
      <c r="B9" s="938"/>
    </row>
    <row r="10" spans="1:10" x14ac:dyDescent="0.25">
      <c r="A10" s="567" t="s">
        <v>482</v>
      </c>
      <c r="B10" s="568">
        <f>B5/B6</f>
        <v>2.5000000000000001E-2</v>
      </c>
      <c r="C10" s="569" t="s">
        <v>483</v>
      </c>
    </row>
    <row r="11" spans="1:10" ht="15.75" thickBot="1" x14ac:dyDescent="0.3">
      <c r="A11" s="570"/>
      <c r="B11" s="570"/>
      <c r="C11" s="569"/>
    </row>
    <row r="12" spans="1:10" ht="15.75" thickBot="1" x14ac:dyDescent="0.3">
      <c r="A12" s="939" t="s">
        <v>484</v>
      </c>
      <c r="B12" s="940"/>
      <c r="C12" s="569"/>
    </row>
    <row r="13" spans="1:10" x14ac:dyDescent="0.25">
      <c r="A13" s="571" t="s">
        <v>485</v>
      </c>
      <c r="B13" s="572">
        <f>1/B5</f>
        <v>4</v>
      </c>
      <c r="C13" s="573" t="s">
        <v>486</v>
      </c>
    </row>
    <row r="14" spans="1:10" x14ac:dyDescent="0.25">
      <c r="A14" s="574" t="s">
        <v>487</v>
      </c>
      <c r="B14" s="575">
        <f>B6/B5</f>
        <v>40</v>
      </c>
      <c r="C14" s="573" t="s">
        <v>488</v>
      </c>
    </row>
    <row r="15" spans="1:10" ht="15.75" thickBot="1" x14ac:dyDescent="0.3">
      <c r="A15" s="576" t="s">
        <v>489</v>
      </c>
      <c r="B15" s="577">
        <f>1/(2*B10)</f>
        <v>20</v>
      </c>
      <c r="C15" s="573" t="s">
        <v>490</v>
      </c>
    </row>
    <row r="16" spans="1:10" ht="15.75" thickBot="1" x14ac:dyDescent="0.3">
      <c r="A16" s="578"/>
      <c r="B16" s="579"/>
      <c r="C16" s="578"/>
      <c r="J16" s="52"/>
    </row>
    <row r="17" spans="1:15" ht="15.75" thickBot="1" x14ac:dyDescent="0.3">
      <c r="A17" s="580" t="s">
        <v>481</v>
      </c>
      <c r="B17" s="581" t="s">
        <v>491</v>
      </c>
      <c r="C17" s="582" t="s">
        <v>492</v>
      </c>
      <c r="J17" s="52"/>
    </row>
    <row r="18" spans="1:15" x14ac:dyDescent="0.25">
      <c r="A18" s="583" t="s">
        <v>493</v>
      </c>
      <c r="B18" s="584">
        <v>0</v>
      </c>
      <c r="C18" s="585">
        <f>$B$6-1</f>
        <v>9</v>
      </c>
      <c r="D18" s="586" t="s">
        <v>494</v>
      </c>
      <c r="J18" s="52"/>
    </row>
    <row r="19" spans="1:15" x14ac:dyDescent="0.25">
      <c r="A19" s="587" t="s">
        <v>495</v>
      </c>
      <c r="B19" s="126">
        <f>B18*$B$10</f>
        <v>0</v>
      </c>
      <c r="C19" s="588">
        <f>C18*$B$10</f>
        <v>0.22500000000000001</v>
      </c>
      <c r="D19" s="569" t="s">
        <v>496</v>
      </c>
      <c r="J19" s="52"/>
    </row>
    <row r="20" spans="1:15" ht="15.75" thickBot="1" x14ac:dyDescent="0.3">
      <c r="A20" s="589" t="s">
        <v>497</v>
      </c>
      <c r="B20" s="590"/>
      <c r="C20" s="591"/>
      <c r="D20" s="592" t="s">
        <v>498</v>
      </c>
      <c r="J20" s="52"/>
    </row>
    <row r="21" spans="1:15" ht="15.75" thickBot="1" x14ac:dyDescent="0.3">
      <c r="A21" s="578"/>
      <c r="B21" s="579"/>
      <c r="C21" s="578"/>
      <c r="J21" s="52"/>
    </row>
    <row r="22" spans="1:15" ht="15.75" thickBot="1" x14ac:dyDescent="0.3">
      <c r="A22" s="593" t="s">
        <v>499</v>
      </c>
      <c r="B22" s="581" t="s">
        <v>491</v>
      </c>
      <c r="C22" s="582" t="s">
        <v>492</v>
      </c>
      <c r="J22" s="52"/>
    </row>
    <row r="23" spans="1:15" x14ac:dyDescent="0.25">
      <c r="A23" s="594" t="s">
        <v>500</v>
      </c>
      <c r="B23" s="595">
        <v>0</v>
      </c>
      <c r="C23" s="596">
        <f>$B$6-1</f>
        <v>9</v>
      </c>
      <c r="D23" s="597" t="s">
        <v>501</v>
      </c>
      <c r="J23" s="52"/>
    </row>
    <row r="24" spans="1:15" x14ac:dyDescent="0.25">
      <c r="A24" s="598" t="s">
        <v>502</v>
      </c>
      <c r="B24" s="143">
        <f>-ROUNDDOWN(($B$6-1)/2,0)*$B$13</f>
        <v>-16</v>
      </c>
      <c r="C24" s="599">
        <f>ROUNDUP(($B$6-1)/2,0)*$B$13</f>
        <v>20</v>
      </c>
      <c r="D24" s="573" t="s">
        <v>503</v>
      </c>
      <c r="J24" s="52"/>
    </row>
    <row r="25" spans="1:15" ht="15.75" thickBot="1" x14ac:dyDescent="0.3">
      <c r="A25" s="600" t="s">
        <v>504</v>
      </c>
      <c r="B25" s="590"/>
      <c r="C25" s="591"/>
      <c r="D25" s="601" t="s">
        <v>505</v>
      </c>
      <c r="J25" s="52"/>
    </row>
    <row r="26" spans="1:15" ht="15.75" thickBot="1" x14ac:dyDescent="0.3">
      <c r="A26" s="578"/>
      <c r="B26" s="579"/>
      <c r="C26" s="578"/>
      <c r="J26" s="52"/>
    </row>
    <row r="27" spans="1:15" ht="15.75" thickBot="1" x14ac:dyDescent="0.3">
      <c r="A27" s="139" t="s">
        <v>532</v>
      </c>
      <c r="B27" s="602"/>
      <c r="C27" s="603">
        <v>5</v>
      </c>
      <c r="D27" s="717" t="s">
        <v>534</v>
      </c>
      <c r="E27" s="604"/>
      <c r="F27" s="604"/>
      <c r="G27" s="604"/>
      <c r="H27" s="604"/>
      <c r="I27" s="604"/>
      <c r="K27" s="67"/>
      <c r="L27" s="67"/>
      <c r="M27" s="67"/>
      <c r="N27" s="67"/>
      <c r="O27" s="67"/>
    </row>
    <row r="28" spans="1:15" ht="15.75" thickBot="1" x14ac:dyDescent="0.3">
      <c r="A28" s="139" t="s">
        <v>531</v>
      </c>
      <c r="B28" s="602"/>
      <c r="C28" s="603">
        <v>8</v>
      </c>
      <c r="E28" s="604"/>
      <c r="F28" s="604"/>
      <c r="G28" s="604"/>
      <c r="H28" s="604"/>
      <c r="I28" s="604"/>
      <c r="K28" s="67"/>
      <c r="L28" s="67"/>
      <c r="M28" s="67"/>
      <c r="N28" s="67"/>
      <c r="O28" s="67"/>
    </row>
    <row r="29" spans="1:15" ht="15.75" thickBot="1" x14ac:dyDescent="0.3">
      <c r="A29" s="139" t="s">
        <v>535</v>
      </c>
      <c r="B29" s="602"/>
      <c r="C29" s="603">
        <v>45</v>
      </c>
      <c r="E29" s="604"/>
      <c r="F29" s="604"/>
      <c r="G29" s="604"/>
      <c r="H29" s="604"/>
      <c r="I29" s="604"/>
      <c r="K29" s="67"/>
      <c r="L29" s="67"/>
      <c r="M29" s="67"/>
      <c r="N29" s="67"/>
      <c r="O29" s="67"/>
    </row>
    <row r="30" spans="1:15" ht="15.75" thickBot="1" x14ac:dyDescent="0.3">
      <c r="A30" s="139" t="s">
        <v>533</v>
      </c>
      <c r="B30" s="602"/>
      <c r="C30" s="603">
        <v>0</v>
      </c>
      <c r="E30" s="604"/>
      <c r="F30" s="604"/>
      <c r="G30" s="604"/>
      <c r="H30" s="604"/>
      <c r="I30" s="604"/>
      <c r="K30" s="67"/>
      <c r="L30" s="67"/>
      <c r="M30" s="67"/>
      <c r="N30" s="67"/>
      <c r="O30" s="67"/>
    </row>
    <row r="31" spans="1:15" ht="15.75" thickBot="1" x14ac:dyDescent="0.3">
      <c r="A31" s="139" t="s">
        <v>530</v>
      </c>
      <c r="B31" s="602"/>
      <c r="C31" s="603">
        <v>8</v>
      </c>
      <c r="E31" s="604"/>
      <c r="F31" s="604"/>
      <c r="G31" s="604"/>
      <c r="H31" s="604"/>
      <c r="I31" s="604"/>
      <c r="K31" s="67"/>
      <c r="L31" s="67"/>
      <c r="M31" s="67"/>
      <c r="N31" s="67"/>
      <c r="O31" s="67"/>
    </row>
    <row r="32" spans="1:15" ht="15.75" thickBot="1" x14ac:dyDescent="0.3">
      <c r="A32" s="139" t="s">
        <v>536</v>
      </c>
      <c r="B32" s="602"/>
      <c r="C32" s="603">
        <v>0</v>
      </c>
      <c r="E32" s="604"/>
      <c r="F32" s="604"/>
      <c r="G32" s="604"/>
      <c r="H32" s="604"/>
      <c r="I32" s="604"/>
      <c r="K32" s="67"/>
      <c r="L32" s="67"/>
      <c r="M32" s="67"/>
      <c r="N32" s="67"/>
      <c r="O32" s="67"/>
    </row>
    <row r="33" spans="1:24" x14ac:dyDescent="0.25">
      <c r="E33" s="604"/>
      <c r="F33" s="604"/>
      <c r="G33" s="604"/>
      <c r="H33" s="604"/>
      <c r="I33" s="604"/>
      <c r="K33" s="67"/>
      <c r="L33" s="67"/>
      <c r="M33" s="67"/>
      <c r="N33" s="67"/>
      <c r="O33" s="67"/>
    </row>
    <row r="34" spans="1:24" ht="15.75" thickBot="1" x14ac:dyDescent="0.3">
      <c r="A34" s="42" t="s">
        <v>506</v>
      </c>
      <c r="E34" s="67"/>
      <c r="F34" s="67"/>
      <c r="G34" s="67"/>
      <c r="H34" s="67"/>
      <c r="I34" s="67"/>
      <c r="K34" s="67"/>
      <c r="L34" s="67"/>
      <c r="M34" s="67"/>
      <c r="N34" s="67"/>
      <c r="O34" s="67"/>
      <c r="Q34" s="67"/>
      <c r="R34" s="67"/>
      <c r="S34" s="67"/>
      <c r="T34" s="67"/>
      <c r="U34" s="67"/>
    </row>
    <row r="35" spans="1:24" x14ac:dyDescent="0.25">
      <c r="D35" s="605" t="s">
        <v>493</v>
      </c>
      <c r="E35" s="606">
        <f t="shared" ref="E35:N35" si="0">E$76</f>
        <v>0</v>
      </c>
      <c r="F35" s="607">
        <f t="shared" si="0"/>
        <v>1</v>
      </c>
      <c r="G35" s="607">
        <f t="shared" si="0"/>
        <v>2</v>
      </c>
      <c r="H35" s="607">
        <f t="shared" si="0"/>
        <v>3</v>
      </c>
      <c r="I35" s="607">
        <f t="shared" si="0"/>
        <v>4</v>
      </c>
      <c r="J35" s="607">
        <f t="shared" si="0"/>
        <v>5</v>
      </c>
      <c r="K35" s="607">
        <f t="shared" si="0"/>
        <v>6</v>
      </c>
      <c r="L35" s="607">
        <f t="shared" si="0"/>
        <v>7</v>
      </c>
      <c r="M35" s="607">
        <f t="shared" si="0"/>
        <v>8</v>
      </c>
      <c r="N35" s="608">
        <f t="shared" si="0"/>
        <v>9</v>
      </c>
      <c r="O35" s="609"/>
      <c r="R35" s="67"/>
      <c r="T35" s="67"/>
      <c r="U35" s="67"/>
    </row>
    <row r="36" spans="1:24" ht="15.75" thickBot="1" x14ac:dyDescent="0.3">
      <c r="D36" s="610" t="s">
        <v>507</v>
      </c>
      <c r="E36" s="611">
        <f>E35*$B$10</f>
        <v>0</v>
      </c>
      <c r="F36" s="612">
        <f t="shared" ref="F36:N36" si="1">F35*$B$10</f>
        <v>2.5000000000000001E-2</v>
      </c>
      <c r="G36" s="612">
        <f t="shared" si="1"/>
        <v>0.05</v>
      </c>
      <c r="H36" s="612">
        <f t="shared" si="1"/>
        <v>7.5000000000000011E-2</v>
      </c>
      <c r="I36" s="612">
        <f t="shared" si="1"/>
        <v>0.1</v>
      </c>
      <c r="J36" s="612">
        <f t="shared" si="1"/>
        <v>0.125</v>
      </c>
      <c r="K36" s="612">
        <f t="shared" si="1"/>
        <v>0.15000000000000002</v>
      </c>
      <c r="L36" s="612">
        <f t="shared" si="1"/>
        <v>0.17500000000000002</v>
      </c>
      <c r="M36" s="612">
        <f t="shared" si="1"/>
        <v>0.2</v>
      </c>
      <c r="N36" s="613">
        <f t="shared" si="1"/>
        <v>0.22500000000000001</v>
      </c>
      <c r="O36" s="614"/>
      <c r="Q36" s="67"/>
      <c r="R36" s="67"/>
      <c r="T36" s="67"/>
      <c r="U36" s="67"/>
    </row>
    <row r="37" spans="1:24" ht="15.75" thickBot="1" x14ac:dyDescent="0.3">
      <c r="D37" s="615" t="s">
        <v>497</v>
      </c>
      <c r="E37" s="616" t="str">
        <f>COMPLEX($C$27*COS(2*PI()*$C$28*E36+$C$29),$C$30*SIN(2*PI()*$C$31*E36+$C$32),"j")</f>
        <v>2,62660994408865</v>
      </c>
      <c r="F37" s="617" t="str">
        <f t="shared" ref="F37:N37" si="2">COMPLEX($C$27*COS(2*PI()*$C$28*F36+$C$29),$C$30*SIN(2*PI()*$C$31*F36+$C$32),"j")</f>
        <v>-3,23461959841581</v>
      </c>
      <c r="G37" s="617" t="str">
        <f t="shared" si="2"/>
        <v>-4,62571479658615</v>
      </c>
      <c r="H37" s="617" t="str">
        <f t="shared" si="2"/>
        <v>0,375770631862259</v>
      </c>
      <c r="I37" s="617" t="str">
        <f t="shared" si="2"/>
        <v>4,85795381905105</v>
      </c>
      <c r="J37" s="617" t="str">
        <f t="shared" si="2"/>
        <v>2,62660994408865</v>
      </c>
      <c r="K37" s="617" t="str">
        <f t="shared" si="2"/>
        <v>-3,23461959841581</v>
      </c>
      <c r="L37" s="617" t="str">
        <f t="shared" si="2"/>
        <v>-4,62571479658615</v>
      </c>
      <c r="M37" s="617" t="str">
        <f t="shared" si="2"/>
        <v>0,375770631862258</v>
      </c>
      <c r="N37" s="618" t="str">
        <f t="shared" si="2"/>
        <v>4,85795381905105</v>
      </c>
      <c r="O37" s="619" t="s">
        <v>508</v>
      </c>
      <c r="P37" s="620"/>
      <c r="Q37" s="620"/>
      <c r="R37" s="620"/>
      <c r="S37" s="620"/>
      <c r="T37" s="620"/>
    </row>
    <row r="38" spans="1:24" ht="15.75" thickBot="1" x14ac:dyDescent="0.3">
      <c r="B38" s="621" t="s">
        <v>500</v>
      </c>
      <c r="C38" s="622" t="s">
        <v>502</v>
      </c>
      <c r="D38" s="623" t="s">
        <v>504</v>
      </c>
      <c r="E38" s="941" t="s">
        <v>509</v>
      </c>
      <c r="F38" s="942"/>
      <c r="G38" s="942"/>
      <c r="H38" s="942"/>
      <c r="I38" s="942"/>
      <c r="J38" s="942"/>
      <c r="K38" s="942"/>
      <c r="L38" s="942"/>
      <c r="M38" s="942"/>
      <c r="N38" s="943"/>
      <c r="O38" s="624" t="s">
        <v>504</v>
      </c>
      <c r="S38" s="625" t="s">
        <v>510</v>
      </c>
    </row>
    <row r="39" spans="1:24" ht="15" customHeight="1" x14ac:dyDescent="0.25">
      <c r="B39" s="626">
        <f>D77</f>
        <v>0</v>
      </c>
      <c r="C39" s="627">
        <f t="shared" ref="C39:C48" si="3">IF(B39&lt;=$B$6/2,B39*$B$13,(B39-$B$6)*$B$13)</f>
        <v>0</v>
      </c>
      <c r="D39" s="628" t="str">
        <f>COMPLEX(ROUND(IMREAL(O39),3),ROUND(IMAGINARY(O39),3),"j")</f>
        <v>0</v>
      </c>
      <c r="E39" s="629" t="str">
        <f t="shared" ref="E39:N39" si="4">IMPRODUCT(E$37,COMPLEX(COS(-E92),SIN(-E92),"j"))</f>
        <v>2,62660994408865</v>
      </c>
      <c r="F39" s="630" t="str">
        <f t="shared" si="4"/>
        <v>-3,23461959841581</v>
      </c>
      <c r="G39" s="630" t="str">
        <f t="shared" si="4"/>
        <v>-4,62571479658615</v>
      </c>
      <c r="H39" s="630" t="str">
        <f t="shared" si="4"/>
        <v>0,375770631862259</v>
      </c>
      <c r="I39" s="630" t="str">
        <f t="shared" si="4"/>
        <v>4,85795381905105</v>
      </c>
      <c r="J39" s="630" t="str">
        <f t="shared" si="4"/>
        <v>2,62660994408865</v>
      </c>
      <c r="K39" s="630" t="str">
        <f t="shared" si="4"/>
        <v>-3,23461959841581</v>
      </c>
      <c r="L39" s="630" t="str">
        <f t="shared" si="4"/>
        <v>-4,62571479658615</v>
      </c>
      <c r="M39" s="630" t="str">
        <f t="shared" si="4"/>
        <v>0,375770631862258</v>
      </c>
      <c r="N39" s="631" t="str">
        <f t="shared" si="4"/>
        <v>4,85795381905105</v>
      </c>
      <c r="O39" s="632" t="str">
        <f>IMSUM(E39:N39)</f>
        <v>-4,44089209850063E-15</v>
      </c>
      <c r="P39" s="944" t="s">
        <v>511</v>
      </c>
      <c r="Q39" s="945"/>
      <c r="S39" s="633">
        <f>ROUND(IMABS(O39),3)</f>
        <v>0</v>
      </c>
      <c r="U39" s="634"/>
      <c r="V39" s="634"/>
      <c r="W39" s="634"/>
      <c r="X39" s="634"/>
    </row>
    <row r="40" spans="1:24" x14ac:dyDescent="0.25">
      <c r="B40" s="635">
        <f>D78</f>
        <v>1</v>
      </c>
      <c r="C40" s="636">
        <f t="shared" si="3"/>
        <v>4</v>
      </c>
      <c r="D40" s="637" t="str">
        <f t="shared" ref="D40:D48" si="5">COMPLEX(ROUND(IMREAL(O40),3),ROUND(IMAGINARY(O40),3),"j")</f>
        <v>0</v>
      </c>
      <c r="E40" s="629" t="str">
        <f t="shared" ref="E40:N40" si="6">IMPRODUCT(E$37,COMPLEX(COS(-E93),SIN(-E93),"j"))</f>
        <v>2,62660994408865</v>
      </c>
      <c r="F40" s="630" t="str">
        <f t="shared" si="6"/>
        <v>-2,61686222545666+1,90126169672501j</v>
      </c>
      <c r="G40" s="630" t="str">
        <f t="shared" si="6"/>
        <v>-1,42942448327677+4,39931619981617j</v>
      </c>
      <c r="H40" s="630" t="str">
        <f t="shared" si="6"/>
        <v>-0,11611951123245-0,357379108064949j</v>
      </c>
      <c r="I40" s="630" t="str">
        <f t="shared" si="6"/>
        <v>-3,93016719750098-2,8554336111561j</v>
      </c>
      <c r="J40" s="630" t="str">
        <f t="shared" si="6"/>
        <v>-2,62660994408865-3,21798711464783E-16j</v>
      </c>
      <c r="K40" s="630" t="str">
        <f t="shared" si="6"/>
        <v>2,61686222545666-1,90126169672501j</v>
      </c>
      <c r="L40" s="630" t="str">
        <f t="shared" si="6"/>
        <v>1,42942448327678-4,39931619981617j</v>
      </c>
      <c r="M40" s="630" t="str">
        <f t="shared" si="6"/>
        <v>0,11611951123245+0,357379108064948j</v>
      </c>
      <c r="N40" s="631" t="str">
        <f t="shared" si="6"/>
        <v>3,93016719750098+2,8554336111561j</v>
      </c>
      <c r="O40" s="638" t="str">
        <f>IMSUM(E40:N40)</f>
        <v>1,11022302462516E-14-1,33226762955019E-15j</v>
      </c>
      <c r="P40" s="946"/>
      <c r="Q40" s="947"/>
      <c r="S40" s="633">
        <f t="shared" ref="S40:S48" si="7">ROUND(IMABS(O40),3)</f>
        <v>0</v>
      </c>
      <c r="T40" s="634"/>
      <c r="U40" s="634"/>
      <c r="V40" s="634"/>
      <c r="W40" s="634"/>
      <c r="X40" s="634"/>
    </row>
    <row r="41" spans="1:24" x14ac:dyDescent="0.25">
      <c r="B41" s="635">
        <f>D79</f>
        <v>2</v>
      </c>
      <c r="C41" s="636">
        <f t="shared" si="3"/>
        <v>8</v>
      </c>
      <c r="D41" s="637" t="str">
        <f t="shared" si="5"/>
        <v>13,133+21,273j</v>
      </c>
      <c r="E41" s="629" t="str">
        <f t="shared" ref="E41:N41" si="8">IMPRODUCT(E$37,COMPLEX(COS(-E94),SIN(-E94),"j"))</f>
        <v>2,62660994408865</v>
      </c>
      <c r="F41" s="630" t="str">
        <f t="shared" si="8"/>
        <v>-0,999552426248752+3,07630604680937j</v>
      </c>
      <c r="G41" s="630" t="str">
        <f t="shared" si="8"/>
        <v>3,74228188156985+2,71892693874442j</v>
      </c>
      <c r="H41" s="630" t="str">
        <f t="shared" si="8"/>
        <v>-0,30400482716358+0,22087243565326j</v>
      </c>
      <c r="I41" s="630" t="str">
        <f t="shared" si="8"/>
        <v>1,50119028797545+4,62018863546943j</v>
      </c>
      <c r="J41" s="630" t="str">
        <f t="shared" si="8"/>
        <v>2,62660994408865+6,43597422929565E-16j</v>
      </c>
      <c r="K41" s="630" t="str">
        <f t="shared" si="8"/>
        <v>-0,999552426248755+3,07630604680937j</v>
      </c>
      <c r="L41" s="630" t="str">
        <f t="shared" si="8"/>
        <v>3,74228188156985+2,71892693874442j</v>
      </c>
      <c r="M41" s="630" t="str">
        <f t="shared" si="8"/>
        <v>-0,304004827163579+0,220872435653259j</v>
      </c>
      <c r="N41" s="631" t="str">
        <f t="shared" si="8"/>
        <v>1,50119028797545+4,62018863546943j</v>
      </c>
      <c r="O41" s="638" t="str">
        <f t="shared" ref="O41:O47" si="9">IMSUM(E41:N41)</f>
        <v>13,1330497204432+21,272588113353j</v>
      </c>
      <c r="P41" s="946"/>
      <c r="Q41" s="947"/>
      <c r="S41" s="633">
        <f t="shared" si="7"/>
        <v>25</v>
      </c>
      <c r="T41" s="634"/>
      <c r="U41" s="634"/>
      <c r="V41" s="634"/>
      <c r="W41" s="634"/>
      <c r="X41" s="634"/>
    </row>
    <row r="42" spans="1:24" x14ac:dyDescent="0.25">
      <c r="B42" s="635">
        <f>D80</f>
        <v>3</v>
      </c>
      <c r="C42" s="636">
        <f t="shared" si="3"/>
        <v>12</v>
      </c>
      <c r="D42" s="637" t="str">
        <f t="shared" si="5"/>
        <v>0</v>
      </c>
      <c r="E42" s="629" t="str">
        <f t="shared" ref="E42:N42" si="10">IMPRODUCT(E$37,COMPLEX(COS(-E95),SIN(-E95),"j"))</f>
        <v>2,62660994408865</v>
      </c>
      <c r="F42" s="630" t="str">
        <f t="shared" si="10"/>
        <v>0,999552426248752+3,07630604680937j</v>
      </c>
      <c r="G42" s="630" t="str">
        <f t="shared" si="10"/>
        <v>3,74228188156985-2,71892693874442j</v>
      </c>
      <c r="H42" s="630" t="str">
        <f t="shared" si="10"/>
        <v>0,304004827163579+0,22087243565326j</v>
      </c>
      <c r="I42" s="630" t="str">
        <f t="shared" si="10"/>
        <v>1,50119028797546-4,62018863546943j</v>
      </c>
      <c r="J42" s="630" t="str">
        <f t="shared" si="10"/>
        <v>-2,62660994408865-9,65396134394348E-16j</v>
      </c>
      <c r="K42" s="630" t="str">
        <f t="shared" si="10"/>
        <v>-0,999552426248752-3,07630604680937j</v>
      </c>
      <c r="L42" s="630" t="str">
        <f t="shared" si="10"/>
        <v>-3,74228188156985+2,71892693874442j</v>
      </c>
      <c r="M42" s="630" t="str">
        <f t="shared" si="10"/>
        <v>-0,304004827163579-0,22087243565326j</v>
      </c>
      <c r="N42" s="631" t="str">
        <f t="shared" si="10"/>
        <v>-1,50119028797546+4,62018863546943j</v>
      </c>
      <c r="O42" s="638" t="str">
        <f>IMSUM(E42:N42)</f>
        <v>2,22044604925031E-16</v>
      </c>
      <c r="P42" s="946"/>
      <c r="Q42" s="947"/>
      <c r="S42" s="633">
        <f t="shared" si="7"/>
        <v>0</v>
      </c>
      <c r="T42" s="634"/>
      <c r="U42" s="634"/>
      <c r="V42" s="634"/>
      <c r="W42" s="634"/>
      <c r="X42" s="634"/>
    </row>
    <row r="43" spans="1:24" x14ac:dyDescent="0.25">
      <c r="B43" s="635">
        <f>D81</f>
        <v>4</v>
      </c>
      <c r="C43" s="636">
        <f t="shared" si="3"/>
        <v>16</v>
      </c>
      <c r="D43" s="637" t="str">
        <f t="shared" si="5"/>
        <v>0</v>
      </c>
      <c r="E43" s="629" t="str">
        <f t="shared" ref="E43:N43" si="11">IMPRODUCT(E$37,COMPLEX(COS(-E96),SIN(-E96),"j"))</f>
        <v>2,62660994408865</v>
      </c>
      <c r="F43" s="630" t="str">
        <f t="shared" si="11"/>
        <v>2,61686222545666+1,90126169672501j</v>
      </c>
      <c r="G43" s="630" t="str">
        <f t="shared" si="11"/>
        <v>-1,42942448327677-4,39931619981617j</v>
      </c>
      <c r="H43" s="630" t="str">
        <f t="shared" si="11"/>
        <v>0,11611951123245-0,357379108064949j</v>
      </c>
      <c r="I43" s="630" t="str">
        <f t="shared" si="11"/>
        <v>-3,93016719750098+2,8554336111561j</v>
      </c>
      <c r="J43" s="630" t="str">
        <f t="shared" si="11"/>
        <v>2,62660994408865+1,28719484585913E-15j</v>
      </c>
      <c r="K43" s="630" t="str">
        <f t="shared" si="11"/>
        <v>2,61686222545666+1,90126169672502j</v>
      </c>
      <c r="L43" s="630" t="str">
        <f t="shared" si="11"/>
        <v>-1,42942448327677-4,39931619981617j</v>
      </c>
      <c r="M43" s="630" t="str">
        <f t="shared" si="11"/>
        <v>0,11611951123245-0,357379108064947j</v>
      </c>
      <c r="N43" s="631" t="str">
        <f t="shared" si="11"/>
        <v>-3,93016719750098+2,8554336111561j</v>
      </c>
      <c r="O43" s="638" t="str">
        <f t="shared" si="9"/>
        <v>2,08721928629529E-14-3,99680288865056E-15j</v>
      </c>
      <c r="P43" s="946"/>
      <c r="Q43" s="947"/>
      <c r="S43" s="633">
        <f t="shared" si="7"/>
        <v>0</v>
      </c>
      <c r="T43" s="634"/>
      <c r="U43" s="634"/>
      <c r="V43" s="634"/>
      <c r="W43" s="634"/>
      <c r="X43" s="634"/>
    </row>
    <row r="44" spans="1:24" x14ac:dyDescent="0.25">
      <c r="B44" s="635">
        <f t="shared" ref="B44:B48" si="12">D82</f>
        <v>5</v>
      </c>
      <c r="C44" s="636">
        <f t="shared" si="3"/>
        <v>20</v>
      </c>
      <c r="D44" s="637" t="str">
        <f t="shared" si="5"/>
        <v>0</v>
      </c>
      <c r="E44" s="629" t="str">
        <f t="shared" ref="E44:N44" si="13">IMPRODUCT(E$37,COMPLEX(COS(-E97),SIN(-E97),"j"))</f>
        <v>2,62660994408865</v>
      </c>
      <c r="F44" s="630" t="str">
        <f t="shared" si="13"/>
        <v>3,23461959841581+3,96288920321627E-16j</v>
      </c>
      <c r="G44" s="630" t="str">
        <f t="shared" si="13"/>
        <v>-4,62571479658615-1,13343746717709E-15j</v>
      </c>
      <c r="H44" s="630" t="str">
        <f t="shared" si="13"/>
        <v>-0,375770631862259-1,38112442707825E-16j</v>
      </c>
      <c r="I44" s="630" t="str">
        <f t="shared" si="13"/>
        <v>4,85795381905105+2,38068584617113E-15j</v>
      </c>
      <c r="J44" s="630" t="str">
        <f t="shared" si="13"/>
        <v>-2,62660994408865-1,60899355732391E-15j</v>
      </c>
      <c r="K44" s="630" t="str">
        <f t="shared" si="13"/>
        <v>-3,23461959841581-2,37773352192976E-15j</v>
      </c>
      <c r="L44" s="630" t="str">
        <f t="shared" si="13"/>
        <v>4,62571479658615+3,96703113511982E-15j</v>
      </c>
      <c r="M44" s="630" t="str">
        <f t="shared" si="13"/>
        <v>0,375770631862258+3,68299847220865E-16j</v>
      </c>
      <c r="N44" s="631" t="str">
        <f t="shared" si="13"/>
        <v>-4,85795381905105-5,35654315388505E-15j</v>
      </c>
      <c r="O44" s="638" t="str">
        <f>IMSUM(E44:N44)</f>
        <v>-8,88178419700125E-16-3,50251439419019E-15j</v>
      </c>
      <c r="P44" s="946"/>
      <c r="Q44" s="947"/>
      <c r="S44" s="633">
        <f t="shared" si="7"/>
        <v>0</v>
      </c>
      <c r="T44" s="639"/>
      <c r="U44" s="639"/>
      <c r="V44" s="639"/>
      <c r="W44" s="639"/>
      <c r="X44" s="639"/>
    </row>
    <row r="45" spans="1:24" x14ac:dyDescent="0.25">
      <c r="B45" s="635">
        <f t="shared" si="12"/>
        <v>6</v>
      </c>
      <c r="C45" s="636">
        <f t="shared" si="3"/>
        <v>-16</v>
      </c>
      <c r="D45" s="637" t="str">
        <f t="shared" si="5"/>
        <v>0</v>
      </c>
      <c r="E45" s="629" t="str">
        <f t="shared" ref="E45:N45" si="14">IMPRODUCT(E$37,COMPLEX(COS(-E98),SIN(-E98),"j"))</f>
        <v>2,62660994408865</v>
      </c>
      <c r="F45" s="630" t="str">
        <f t="shared" si="14"/>
        <v>2,61686222545666-1,90126169672501j</v>
      </c>
      <c r="G45" s="630" t="str">
        <f t="shared" si="14"/>
        <v>-1,42942448327678+4,39931619981617j</v>
      </c>
      <c r="H45" s="630" t="str">
        <f t="shared" si="14"/>
        <v>0,11611951123245+0,357379108064949j</v>
      </c>
      <c r="I45" s="630" t="str">
        <f t="shared" si="14"/>
        <v>-3,93016719750098-2,85543361115611j</v>
      </c>
      <c r="J45" s="630" t="str">
        <f t="shared" si="14"/>
        <v>2,62660994408865+1,9307922687887E-15j</v>
      </c>
      <c r="K45" s="630" t="str">
        <f t="shared" si="14"/>
        <v>2,61686222545666-1,90126169672501j</v>
      </c>
      <c r="L45" s="630" t="str">
        <f t="shared" si="14"/>
        <v>-1,42942448327678+4,39931619981617j</v>
      </c>
      <c r="M45" s="630" t="str">
        <f t="shared" si="14"/>
        <v>0,116119511232449+0,357379108064948j</v>
      </c>
      <c r="N45" s="631" t="str">
        <f t="shared" si="14"/>
        <v>-3,93016719750098-2,85543361115611j</v>
      </c>
      <c r="O45" s="638" t="str">
        <f t="shared" si="9"/>
        <v>-8,88178419700125E-16-1,33226762955019E-15j</v>
      </c>
      <c r="P45" s="946"/>
      <c r="Q45" s="947"/>
      <c r="S45" s="633">
        <f t="shared" si="7"/>
        <v>0</v>
      </c>
      <c r="T45" s="639"/>
      <c r="U45" s="639"/>
      <c r="V45" s="639"/>
      <c r="W45" s="639"/>
      <c r="X45" s="639"/>
    </row>
    <row r="46" spans="1:24" x14ac:dyDescent="0.25">
      <c r="B46" s="635">
        <f t="shared" si="12"/>
        <v>7</v>
      </c>
      <c r="C46" s="636">
        <f t="shared" si="3"/>
        <v>-12</v>
      </c>
      <c r="D46" s="637" t="str">
        <f t="shared" si="5"/>
        <v>0</v>
      </c>
      <c r="E46" s="629" t="str">
        <f t="shared" ref="E46:N46" si="15">IMPRODUCT(E$37,COMPLEX(COS(-E99),SIN(-E99),"j"))</f>
        <v>2,62660994408865</v>
      </c>
      <c r="F46" s="630" t="str">
        <f t="shared" si="15"/>
        <v>0,999552426248755-3,07630604680937j</v>
      </c>
      <c r="G46" s="630" t="str">
        <f t="shared" si="15"/>
        <v>3,74228188156985+2,71892693874442j</v>
      </c>
      <c r="H46" s="630" t="str">
        <f t="shared" si="15"/>
        <v>0,30400482716358-0,22087243565326j</v>
      </c>
      <c r="I46" s="630" t="str">
        <f t="shared" si="15"/>
        <v>1,50119028797545+4,62018863546943j</v>
      </c>
      <c r="J46" s="630" t="str">
        <f t="shared" si="15"/>
        <v>-2,62660994408865-2,25259098025348E-15j</v>
      </c>
      <c r="K46" s="630" t="str">
        <f t="shared" si="15"/>
        <v>-0,999552426248755+3,07630604680937j</v>
      </c>
      <c r="L46" s="630" t="str">
        <f t="shared" si="15"/>
        <v>-3,74228188156985-2,71892693874442j</v>
      </c>
      <c r="M46" s="630" t="str">
        <f t="shared" si="15"/>
        <v>-0,304004827163579+0,220872435653259j</v>
      </c>
      <c r="N46" s="631" t="str">
        <f t="shared" si="15"/>
        <v>-1,50119028797543-4,62018863546944j</v>
      </c>
      <c r="O46" s="638" t="str">
        <f t="shared" si="9"/>
        <v>2,04281036531029E-14-1,50990331349021E-14j</v>
      </c>
      <c r="P46" s="946"/>
      <c r="Q46" s="947"/>
      <c r="S46" s="633">
        <f t="shared" si="7"/>
        <v>0</v>
      </c>
      <c r="T46" s="639"/>
      <c r="U46" s="639"/>
      <c r="V46" s="639"/>
      <c r="W46" s="639"/>
      <c r="X46" s="639"/>
    </row>
    <row r="47" spans="1:24" x14ac:dyDescent="0.25">
      <c r="B47" s="635">
        <f t="shared" si="12"/>
        <v>8</v>
      </c>
      <c r="C47" s="636">
        <f t="shared" si="3"/>
        <v>-8</v>
      </c>
      <c r="D47" s="637" t="str">
        <f t="shared" si="5"/>
        <v>13,133-21,273j</v>
      </c>
      <c r="E47" s="629" t="str">
        <f t="shared" ref="E47:N47" si="16">IMPRODUCT(E$37,COMPLEX(COS(-E100),SIN(-E100),"j"))</f>
        <v>2,62660994408865</v>
      </c>
      <c r="F47" s="630" t="str">
        <f t="shared" si="16"/>
        <v>-0,999552426248752-3,07630604680937j</v>
      </c>
      <c r="G47" s="630" t="str">
        <f t="shared" si="16"/>
        <v>3,74228188156985-2,71892693874442j</v>
      </c>
      <c r="H47" s="630" t="str">
        <f t="shared" si="16"/>
        <v>-0,304004827163579-0,22087243565326j</v>
      </c>
      <c r="I47" s="630" t="str">
        <f t="shared" si="16"/>
        <v>1,50119028797546-4,62018863546943j</v>
      </c>
      <c r="J47" s="630" t="str">
        <f t="shared" si="16"/>
        <v>2,62660994408865+2,57438969171826E-15j</v>
      </c>
      <c r="K47" s="630" t="str">
        <f t="shared" si="16"/>
        <v>-0,999552426248749-3,07630604680937j</v>
      </c>
      <c r="L47" s="630" t="str">
        <f t="shared" si="16"/>
        <v>3,74228188156985-2,71892693874441j</v>
      </c>
      <c r="M47" s="630" t="str">
        <f t="shared" si="16"/>
        <v>-0,304004827163578-0,22087243565326j</v>
      </c>
      <c r="N47" s="631" t="str">
        <f t="shared" si="16"/>
        <v>1,50119028797546-4,62018863546943j</v>
      </c>
      <c r="O47" s="638" t="str">
        <f t="shared" si="9"/>
        <v>13,1330497204433-21,2725881133529j</v>
      </c>
      <c r="P47" s="946"/>
      <c r="Q47" s="947"/>
      <c r="S47" s="633">
        <f t="shared" si="7"/>
        <v>25</v>
      </c>
      <c r="T47" s="639"/>
      <c r="U47" s="639"/>
      <c r="V47" s="639"/>
      <c r="W47" s="639"/>
      <c r="X47" s="639"/>
    </row>
    <row r="48" spans="1:24" ht="15.75" thickBot="1" x14ac:dyDescent="0.3">
      <c r="B48" s="640">
        <f t="shared" si="12"/>
        <v>9</v>
      </c>
      <c r="C48" s="641">
        <f t="shared" si="3"/>
        <v>-4</v>
      </c>
      <c r="D48" s="642" t="str">
        <f t="shared" si="5"/>
        <v>0</v>
      </c>
      <c r="E48" s="643" t="str">
        <f t="shared" ref="E48:N48" si="17">IMPRODUCT(E$37,COMPLEX(COS(-E101),SIN(-E101),"j"))</f>
        <v>2,62660994408865</v>
      </c>
      <c r="F48" s="644" t="str">
        <f t="shared" si="17"/>
        <v>-2,61686222545666-1,90126169672501j</v>
      </c>
      <c r="G48" s="644" t="str">
        <f t="shared" si="17"/>
        <v>-1,42942448327677-4,39931619981617j</v>
      </c>
      <c r="H48" s="644" t="str">
        <f t="shared" si="17"/>
        <v>-0,11611951123245+0,357379108064948j</v>
      </c>
      <c r="I48" s="644" t="str">
        <f t="shared" si="17"/>
        <v>-3,93016719750098+2,8554336111561j</v>
      </c>
      <c r="J48" s="644" t="str">
        <f t="shared" si="17"/>
        <v>-2,62660994408865-2,89618840318305E-15j</v>
      </c>
      <c r="K48" s="644" t="str">
        <f t="shared" si="17"/>
        <v>2,61686222545666+1,90126169672502j</v>
      </c>
      <c r="L48" s="644" t="str">
        <f t="shared" si="17"/>
        <v>1,42942448327675+4,39931619981618j</v>
      </c>
      <c r="M48" s="644" t="str">
        <f t="shared" si="17"/>
        <v>0,11611951123245-0,357379108064947j</v>
      </c>
      <c r="N48" s="645" t="str">
        <f t="shared" si="17"/>
        <v>3,93016719750097-2,85543361115611j</v>
      </c>
      <c r="O48" s="638" t="str">
        <f>IMSUM(E48:N48)</f>
        <v>-2,88657986402541E-14+8,43769498715119E-15j</v>
      </c>
      <c r="P48" s="948"/>
      <c r="Q48" s="949"/>
      <c r="S48" s="633">
        <f t="shared" si="7"/>
        <v>0</v>
      </c>
      <c r="T48" s="639"/>
      <c r="U48" s="639"/>
      <c r="V48" s="639"/>
      <c r="W48" s="639"/>
      <c r="X48" s="639"/>
    </row>
    <row r="49" spans="1:22" x14ac:dyDescent="0.25">
      <c r="B49" s="646"/>
      <c r="C49" s="647"/>
      <c r="D49" s="648" t="s">
        <v>512</v>
      </c>
      <c r="E49" s="649"/>
      <c r="F49" s="649"/>
      <c r="G49" s="649"/>
      <c r="H49" s="649"/>
      <c r="I49" s="649"/>
      <c r="J49" s="650"/>
      <c r="K49" s="651"/>
      <c r="L49" s="639"/>
      <c r="M49" s="639"/>
      <c r="N49" s="639"/>
      <c r="O49" s="639"/>
    </row>
    <row r="51" spans="1:22" ht="15.75" thickBot="1" x14ac:dyDescent="0.3">
      <c r="A51" s="42" t="s">
        <v>513</v>
      </c>
    </row>
    <row r="52" spans="1:22" x14ac:dyDescent="0.25">
      <c r="D52" s="652" t="s">
        <v>514</v>
      </c>
      <c r="E52" s="626">
        <f>E$76</f>
        <v>0</v>
      </c>
      <c r="F52" s="653">
        <f t="shared" ref="F52:N52" si="18">F$76</f>
        <v>1</v>
      </c>
      <c r="G52" s="653">
        <f t="shared" si="18"/>
        <v>2</v>
      </c>
      <c r="H52" s="653">
        <f t="shared" si="18"/>
        <v>3</v>
      </c>
      <c r="I52" s="653">
        <f t="shared" si="18"/>
        <v>4</v>
      </c>
      <c r="J52" s="653">
        <f t="shared" si="18"/>
        <v>5</v>
      </c>
      <c r="K52" s="653">
        <f t="shared" si="18"/>
        <v>6</v>
      </c>
      <c r="L52" s="653">
        <f t="shared" si="18"/>
        <v>7</v>
      </c>
      <c r="M52" s="653">
        <f t="shared" si="18"/>
        <v>8</v>
      </c>
      <c r="N52" s="654">
        <f t="shared" si="18"/>
        <v>9</v>
      </c>
    </row>
    <row r="53" spans="1:22" ht="15.75" thickBot="1" x14ac:dyDescent="0.3">
      <c r="D53" s="655" t="s">
        <v>515</v>
      </c>
      <c r="E53" s="656">
        <f>IF(E52&lt;=$B$6/2,E52*$B$13,(E52-$B$6)*$B$13)</f>
        <v>0</v>
      </c>
      <c r="F53" s="657">
        <f t="shared" ref="F53:N53" si="19">IF(F52&lt;=$B$6/2,F52*$B$13,(F52-$B$6)*$B$13)</f>
        <v>4</v>
      </c>
      <c r="G53" s="657">
        <f t="shared" si="19"/>
        <v>8</v>
      </c>
      <c r="H53" s="657">
        <f t="shared" si="19"/>
        <v>12</v>
      </c>
      <c r="I53" s="657">
        <f t="shared" si="19"/>
        <v>16</v>
      </c>
      <c r="J53" s="657">
        <f t="shared" si="19"/>
        <v>20</v>
      </c>
      <c r="K53" s="657">
        <f t="shared" si="19"/>
        <v>-16</v>
      </c>
      <c r="L53" s="657">
        <f t="shared" si="19"/>
        <v>-12</v>
      </c>
      <c r="M53" s="657">
        <f t="shared" si="19"/>
        <v>-8</v>
      </c>
      <c r="N53" s="658">
        <f t="shared" si="19"/>
        <v>-4</v>
      </c>
    </row>
    <row r="54" spans="1:22" ht="15.75" thickBot="1" x14ac:dyDescent="0.3">
      <c r="D54" s="659" t="s">
        <v>504</v>
      </c>
      <c r="E54" s="660" t="str">
        <f>D39</f>
        <v>0</v>
      </c>
      <c r="F54" s="661" t="str">
        <f>D40</f>
        <v>0</v>
      </c>
      <c r="G54" s="661" t="str">
        <f>D41</f>
        <v>13,133+21,273j</v>
      </c>
      <c r="H54" s="661" t="str">
        <f>D42</f>
        <v>0</v>
      </c>
      <c r="I54" s="661" t="str">
        <f>D43</f>
        <v>0</v>
      </c>
      <c r="J54" s="661" t="str">
        <f>D44</f>
        <v>0</v>
      </c>
      <c r="K54" s="661" t="str">
        <f>D45</f>
        <v>0</v>
      </c>
      <c r="L54" s="661" t="str">
        <f>D46</f>
        <v>0</v>
      </c>
      <c r="M54" s="661" t="str">
        <f>D47</f>
        <v>13,133-21,273j</v>
      </c>
      <c r="N54" s="662" t="str">
        <f>D48</f>
        <v>0</v>
      </c>
      <c r="O54" s="663" t="s">
        <v>516</v>
      </c>
      <c r="P54" s="664"/>
      <c r="Q54" s="664"/>
      <c r="R54" s="664"/>
      <c r="S54" s="601"/>
      <c r="T54" s="601"/>
      <c r="U54" s="601"/>
      <c r="V54" s="601"/>
    </row>
    <row r="55" spans="1:22" ht="15.75" thickBot="1" x14ac:dyDescent="0.3">
      <c r="B55" s="665" t="s">
        <v>517</v>
      </c>
      <c r="C55" s="666" t="s">
        <v>518</v>
      </c>
      <c r="D55" s="667" t="s">
        <v>497</v>
      </c>
      <c r="E55" s="950" t="s">
        <v>519</v>
      </c>
      <c r="F55" s="951"/>
      <c r="G55" s="951"/>
      <c r="H55" s="951"/>
      <c r="I55" s="951"/>
      <c r="J55" s="951"/>
      <c r="K55" s="951"/>
      <c r="L55" s="951"/>
      <c r="M55" s="951"/>
      <c r="N55" s="952"/>
    </row>
    <row r="56" spans="1:22" ht="15" customHeight="1" x14ac:dyDescent="0.25">
      <c r="B56" s="606">
        <f>D77</f>
        <v>0</v>
      </c>
      <c r="C56" s="668">
        <f>(0.5+B56)*$B$10</f>
        <v>1.2500000000000001E-2</v>
      </c>
      <c r="D56" s="669" t="str">
        <f>COMPLEX(ROUND(IMREAL(O56),3),ROUND(IMAGINARY(O56),3))</f>
        <v>2,627</v>
      </c>
      <c r="E56" s="670" t="str">
        <f t="shared" ref="E56:N56" si="20">IMPRODUCT(IMDIV(E$54,$B$6),COMPLEX(COS(E92),SIN(E92),"j"))</f>
        <v>0</v>
      </c>
      <c r="F56" s="630" t="str">
        <f t="shared" si="20"/>
        <v>0</v>
      </c>
      <c r="G56" s="630" t="str">
        <f t="shared" si="20"/>
        <v>1,3133+2,1273j</v>
      </c>
      <c r="H56" s="630" t="str">
        <f t="shared" si="20"/>
        <v>0</v>
      </c>
      <c r="I56" s="630" t="str">
        <f t="shared" si="20"/>
        <v>0</v>
      </c>
      <c r="J56" s="630" t="str">
        <f t="shared" si="20"/>
        <v>0</v>
      </c>
      <c r="K56" s="630" t="str">
        <f t="shared" si="20"/>
        <v>0</v>
      </c>
      <c r="L56" s="630" t="str">
        <f t="shared" si="20"/>
        <v>0</v>
      </c>
      <c r="M56" s="630" t="str">
        <f t="shared" si="20"/>
        <v>1,3133-2,1273j</v>
      </c>
      <c r="N56" s="631" t="str">
        <f t="shared" si="20"/>
        <v>0</v>
      </c>
      <c r="O56" s="671" t="str">
        <f>IMSUM(E56:N56)</f>
        <v>2,6266</v>
      </c>
      <c r="P56" s="920" t="s">
        <v>511</v>
      </c>
      <c r="Q56" s="921"/>
      <c r="R56" s="672"/>
      <c r="S56" s="672"/>
      <c r="T56" s="672"/>
    </row>
    <row r="57" spans="1:22" x14ac:dyDescent="0.25">
      <c r="B57" s="673">
        <f t="shared" ref="B57:B65" si="21">D78</f>
        <v>1</v>
      </c>
      <c r="C57" s="674">
        <f t="shared" ref="C57:C65" si="22">(0.5+B57)*$B$10</f>
        <v>3.7500000000000006E-2</v>
      </c>
      <c r="D57" s="675" t="str">
        <f>COMPLEX(ROUND(IMREAL(O57),3),ROUND(IMAGINARY(O57),3))</f>
        <v>-3,235</v>
      </c>
      <c r="E57" s="670" t="str">
        <f t="shared" ref="E57:N57" si="23">IMPRODUCT(IMDIV(E$54,$B$6),COMPLEX(COS(E93),SIN(E93),"j"))</f>
        <v>0</v>
      </c>
      <c r="F57" s="630" t="str">
        <f t="shared" si="23"/>
        <v>0</v>
      </c>
      <c r="G57" s="630" t="str">
        <f t="shared" si="23"/>
        <v>-1,61735050840206+1,90639437498425j</v>
      </c>
      <c r="H57" s="630" t="str">
        <f t="shared" si="23"/>
        <v>0</v>
      </c>
      <c r="I57" s="630" t="str">
        <f t="shared" si="23"/>
        <v>0</v>
      </c>
      <c r="J57" s="630" t="str">
        <f t="shared" si="23"/>
        <v>0</v>
      </c>
      <c r="K57" s="630" t="str">
        <f t="shared" si="23"/>
        <v>0</v>
      </c>
      <c r="L57" s="630" t="str">
        <f t="shared" si="23"/>
        <v>0</v>
      </c>
      <c r="M57" s="630" t="str">
        <f t="shared" si="23"/>
        <v>-1,61735050840206-1,90639437498425j</v>
      </c>
      <c r="N57" s="631" t="str">
        <f t="shared" si="23"/>
        <v>0</v>
      </c>
      <c r="O57" s="671" t="str">
        <f>IMSUM(E57:N57)</f>
        <v>-3,23470101680412</v>
      </c>
      <c r="P57" s="922"/>
      <c r="Q57" s="923"/>
      <c r="R57" s="672"/>
      <c r="S57" s="672"/>
      <c r="T57" s="672"/>
    </row>
    <row r="58" spans="1:22" x14ac:dyDescent="0.25">
      <c r="B58" s="673">
        <f t="shared" si="21"/>
        <v>2</v>
      </c>
      <c r="C58" s="674">
        <f t="shared" si="22"/>
        <v>6.25E-2</v>
      </c>
      <c r="D58" s="675" t="str">
        <f>COMPLEX(ROUND(IMREAL(O58),3),ROUND(IMAGINARY(O58),3))</f>
        <v>-4,626</v>
      </c>
      <c r="E58" s="670" t="str">
        <f t="shared" ref="E58:N58" si="24">IMPRODUCT(IMDIV(E$54,$B$6),COMPLEX(COS(E94),SIN(E94),"j"))</f>
        <v>0</v>
      </c>
      <c r="F58" s="630" t="str">
        <f t="shared" si="24"/>
        <v>0</v>
      </c>
      <c r="G58" s="630" t="str">
        <f t="shared" si="24"/>
        <v>-2,3128775859144-0,94908348029812j</v>
      </c>
      <c r="H58" s="630" t="str">
        <f t="shared" si="24"/>
        <v>0</v>
      </c>
      <c r="I58" s="630" t="str">
        <f t="shared" si="24"/>
        <v>0</v>
      </c>
      <c r="J58" s="630" t="str">
        <f t="shared" si="24"/>
        <v>0</v>
      </c>
      <c r="K58" s="630" t="str">
        <f t="shared" si="24"/>
        <v>0</v>
      </c>
      <c r="L58" s="630" t="str">
        <f t="shared" si="24"/>
        <v>0</v>
      </c>
      <c r="M58" s="630" t="str">
        <f t="shared" si="24"/>
        <v>-2,3128775859144+0,949083480298122j</v>
      </c>
      <c r="N58" s="631" t="str">
        <f t="shared" si="24"/>
        <v>0</v>
      </c>
      <c r="O58" s="671" t="str">
        <f>IMSUM(E58:N58)</f>
        <v>-4,6257551718288+1,99840144432528E-15j</v>
      </c>
      <c r="P58" s="922"/>
      <c r="Q58" s="923"/>
      <c r="R58" s="672"/>
      <c r="S58" s="672"/>
      <c r="T58" s="672"/>
    </row>
    <row r="59" spans="1:22" x14ac:dyDescent="0.25">
      <c r="B59" s="673">
        <f t="shared" si="21"/>
        <v>3</v>
      </c>
      <c r="C59" s="674">
        <f t="shared" si="22"/>
        <v>8.7500000000000008E-2</v>
      </c>
      <c r="D59" s="675" t="str">
        <f>COMPLEX(ROUND(IMREAL(O59),3),ROUND(IMAGINARY(O59),3))</f>
        <v>0,376</v>
      </c>
      <c r="E59" s="670" t="str">
        <f t="shared" ref="E59:N59" si="25">IMPRODUCT(IMDIV(E$54,$B$6),COMPLEX(COS(E95),SIN(E95),"j"))</f>
        <v>0</v>
      </c>
      <c r="F59" s="630" t="str">
        <f t="shared" si="25"/>
        <v>0</v>
      </c>
      <c r="G59" s="630" t="str">
        <f t="shared" si="25"/>
        <v>0,187913548489159-2,49296022396953j</v>
      </c>
      <c r="H59" s="630" t="str">
        <f t="shared" si="25"/>
        <v>0</v>
      </c>
      <c r="I59" s="630" t="str">
        <f t="shared" si="25"/>
        <v>0</v>
      </c>
      <c r="J59" s="630" t="str">
        <f t="shared" si="25"/>
        <v>0</v>
      </c>
      <c r="K59" s="630" t="str">
        <f t="shared" si="25"/>
        <v>0</v>
      </c>
      <c r="L59" s="630" t="str">
        <f t="shared" si="25"/>
        <v>0</v>
      </c>
      <c r="M59" s="630" t="str">
        <f t="shared" si="25"/>
        <v>0,187913548489162+2,49296022396953j</v>
      </c>
      <c r="N59" s="631" t="str">
        <f t="shared" si="25"/>
        <v>0</v>
      </c>
      <c r="O59" s="671" t="str">
        <f>IMSUM(E59:N59)</f>
        <v>0,375827096978321</v>
      </c>
      <c r="P59" s="922"/>
      <c r="Q59" s="923"/>
      <c r="R59" s="672"/>
      <c r="S59" s="672"/>
      <c r="T59" s="672"/>
    </row>
    <row r="60" spans="1:22" x14ac:dyDescent="0.25">
      <c r="B60" s="673">
        <f t="shared" si="21"/>
        <v>4</v>
      </c>
      <c r="C60" s="674">
        <f t="shared" si="22"/>
        <v>0.1125</v>
      </c>
      <c r="D60" s="675" t="str">
        <f>COMPLEX(ROUND(IMREAL(O60),3),ROUND(IMAGINARY(O60),3))</f>
        <v>4,858</v>
      </c>
      <c r="E60" s="670" t="str">
        <f t="shared" ref="E60:N60" si="26">IMPRODUCT(IMDIV(E$54,$B$6),COMPLEX(COS(E96),SIN(E96),"j"))</f>
        <v>0</v>
      </c>
      <c r="F60" s="630" t="str">
        <f t="shared" si="26"/>
        <v>0</v>
      </c>
      <c r="G60" s="630" t="str">
        <f t="shared" si="26"/>
        <v>2,4290145458273-0,591650670716601j</v>
      </c>
      <c r="H60" s="630" t="str">
        <f t="shared" si="26"/>
        <v>0</v>
      </c>
      <c r="I60" s="630" t="str">
        <f t="shared" si="26"/>
        <v>0</v>
      </c>
      <c r="J60" s="630" t="str">
        <f t="shared" si="26"/>
        <v>0</v>
      </c>
      <c r="K60" s="630" t="str">
        <f t="shared" si="26"/>
        <v>0</v>
      </c>
      <c r="L60" s="630" t="str">
        <f t="shared" si="26"/>
        <v>0</v>
      </c>
      <c r="M60" s="630" t="str">
        <f t="shared" si="26"/>
        <v>2,4290145458273+0,591650670716597j</v>
      </c>
      <c r="N60" s="631" t="str">
        <f t="shared" si="26"/>
        <v>0</v>
      </c>
      <c r="O60" s="671" t="str">
        <f t="shared" ref="O60:O65" si="27">IMSUM(E60:N60)</f>
        <v>4,8580290916546-3,99680288865056E-15j</v>
      </c>
      <c r="P60" s="922"/>
      <c r="Q60" s="923"/>
      <c r="R60" s="672"/>
      <c r="S60" s="672"/>
      <c r="T60" s="672"/>
    </row>
    <row r="61" spans="1:22" x14ac:dyDescent="0.25">
      <c r="B61" s="673">
        <f t="shared" si="21"/>
        <v>5</v>
      </c>
      <c r="C61" s="674">
        <f t="shared" si="22"/>
        <v>0.13750000000000001</v>
      </c>
      <c r="D61" s="675" t="str">
        <f t="shared" ref="D61:D65" si="28">COMPLEX(ROUND(IMREAL(O61),3),ROUND(IMAGINARY(O61),3))</f>
        <v>2,627</v>
      </c>
      <c r="E61" s="670" t="str">
        <f t="shared" ref="E61:N61" si="29">IMPRODUCT(IMDIV(E$54,$B$6),COMPLEX(COS(E97),SIN(E97),"j"))</f>
        <v>0</v>
      </c>
      <c r="F61" s="630" t="str">
        <f t="shared" si="29"/>
        <v>0</v>
      </c>
      <c r="G61" s="630" t="str">
        <f t="shared" si="29"/>
        <v>1,3133+2,1273j</v>
      </c>
      <c r="H61" s="630" t="str">
        <f t="shared" si="29"/>
        <v>0</v>
      </c>
      <c r="I61" s="630" t="str">
        <f t="shared" si="29"/>
        <v>0</v>
      </c>
      <c r="J61" s="630" t="str">
        <f t="shared" si="29"/>
        <v>0</v>
      </c>
      <c r="K61" s="630" t="str">
        <f t="shared" si="29"/>
        <v>0</v>
      </c>
      <c r="L61" s="630" t="str">
        <f t="shared" si="29"/>
        <v>0</v>
      </c>
      <c r="M61" s="630" t="str">
        <f t="shared" si="29"/>
        <v>1,3133-2,1273j</v>
      </c>
      <c r="N61" s="631" t="str">
        <f t="shared" si="29"/>
        <v>0</v>
      </c>
      <c r="O61" s="671" t="str">
        <f t="shared" si="27"/>
        <v>2,6266</v>
      </c>
      <c r="P61" s="922"/>
      <c r="Q61" s="923"/>
      <c r="R61" s="672"/>
      <c r="S61" s="672"/>
      <c r="T61" s="672"/>
    </row>
    <row r="62" spans="1:22" x14ac:dyDescent="0.25">
      <c r="B62" s="673">
        <f t="shared" si="21"/>
        <v>6</v>
      </c>
      <c r="C62" s="674">
        <f t="shared" si="22"/>
        <v>0.16250000000000001</v>
      </c>
      <c r="D62" s="675" t="str">
        <f t="shared" si="28"/>
        <v>-3,235</v>
      </c>
      <c r="E62" s="670" t="str">
        <f t="shared" ref="E62:N62" si="30">IMPRODUCT(IMDIV(E$54,$B$6),COMPLEX(COS(E98),SIN(E98),"j"))</f>
        <v>0</v>
      </c>
      <c r="F62" s="630" t="str">
        <f t="shared" si="30"/>
        <v>0</v>
      </c>
      <c r="G62" s="630" t="str">
        <f t="shared" si="30"/>
        <v>-1,61735050840206+1,90639437498425j</v>
      </c>
      <c r="H62" s="630" t="str">
        <f t="shared" si="30"/>
        <v>0</v>
      </c>
      <c r="I62" s="630" t="str">
        <f t="shared" si="30"/>
        <v>0</v>
      </c>
      <c r="J62" s="630" t="str">
        <f t="shared" si="30"/>
        <v>0</v>
      </c>
      <c r="K62" s="630" t="str">
        <f t="shared" si="30"/>
        <v>0</v>
      </c>
      <c r="L62" s="630" t="str">
        <f t="shared" si="30"/>
        <v>0</v>
      </c>
      <c r="M62" s="630" t="str">
        <f t="shared" si="30"/>
        <v>-1,61735050840206-1,90639437498425j</v>
      </c>
      <c r="N62" s="631" t="str">
        <f t="shared" si="30"/>
        <v>0</v>
      </c>
      <c r="O62" s="671" t="str">
        <f t="shared" si="27"/>
        <v>-3,23470101680412</v>
      </c>
      <c r="P62" s="922"/>
      <c r="Q62" s="923"/>
      <c r="R62" s="672"/>
      <c r="S62" s="672"/>
      <c r="T62" s="672"/>
    </row>
    <row r="63" spans="1:22" x14ac:dyDescent="0.25">
      <c r="B63" s="673">
        <f t="shared" si="21"/>
        <v>7</v>
      </c>
      <c r="C63" s="674">
        <f t="shared" si="22"/>
        <v>0.1875</v>
      </c>
      <c r="D63" s="675" t="str">
        <f t="shared" si="28"/>
        <v>-4,626</v>
      </c>
      <c r="E63" s="670" t="str">
        <f t="shared" ref="E63:N63" si="31">IMPRODUCT(IMDIV(E$54,$B$6),COMPLEX(COS(E99),SIN(E99),"j"))</f>
        <v>0</v>
      </c>
      <c r="F63" s="630" t="str">
        <f t="shared" si="31"/>
        <v>0</v>
      </c>
      <c r="G63" s="630" t="str">
        <f t="shared" si="31"/>
        <v>-2,3128775859144-0,94908348029812j</v>
      </c>
      <c r="H63" s="630" t="str">
        <f t="shared" si="31"/>
        <v>0</v>
      </c>
      <c r="I63" s="630" t="str">
        <f t="shared" si="31"/>
        <v>0</v>
      </c>
      <c r="J63" s="630" t="str">
        <f t="shared" si="31"/>
        <v>0</v>
      </c>
      <c r="K63" s="630" t="str">
        <f t="shared" si="31"/>
        <v>0</v>
      </c>
      <c r="L63" s="630" t="str">
        <f t="shared" si="31"/>
        <v>0</v>
      </c>
      <c r="M63" s="630" t="str">
        <f t="shared" si="31"/>
        <v>-2,31287758591439+0,949083480298124j</v>
      </c>
      <c r="N63" s="631" t="str">
        <f t="shared" si="31"/>
        <v>0</v>
      </c>
      <c r="O63" s="671" t="str">
        <f t="shared" si="27"/>
        <v>-4,62575517182879+3,99680288865056E-15j</v>
      </c>
      <c r="P63" s="922"/>
      <c r="Q63" s="923"/>
      <c r="R63" s="672"/>
      <c r="S63" s="672"/>
      <c r="T63" s="672"/>
      <c r="U63" s="676">
        <f>12*15*71/1000</f>
        <v>12.78</v>
      </c>
    </row>
    <row r="64" spans="1:22" x14ac:dyDescent="0.25">
      <c r="B64" s="673">
        <f t="shared" si="21"/>
        <v>8</v>
      </c>
      <c r="C64" s="674">
        <f t="shared" si="22"/>
        <v>0.21250000000000002</v>
      </c>
      <c r="D64" s="675" t="str">
        <f t="shared" si="28"/>
        <v>0,376</v>
      </c>
      <c r="E64" s="670" t="str">
        <f t="shared" ref="E64:N64" si="32">IMPRODUCT(IMDIV(E$54,$B$6),COMPLEX(COS(E100),SIN(E100),"j"))</f>
        <v>0</v>
      </c>
      <c r="F64" s="630" t="str">
        <f t="shared" si="32"/>
        <v>0</v>
      </c>
      <c r="G64" s="630" t="str">
        <f t="shared" si="32"/>
        <v>0,187913548489159-2,49296022396953j</v>
      </c>
      <c r="H64" s="630" t="str">
        <f t="shared" si="32"/>
        <v>0</v>
      </c>
      <c r="I64" s="630" t="str">
        <f t="shared" si="32"/>
        <v>0</v>
      </c>
      <c r="J64" s="630" t="str">
        <f t="shared" si="32"/>
        <v>0</v>
      </c>
      <c r="K64" s="630" t="str">
        <f t="shared" si="32"/>
        <v>0</v>
      </c>
      <c r="L64" s="630" t="str">
        <f t="shared" si="32"/>
        <v>0</v>
      </c>
      <c r="M64" s="630" t="str">
        <f t="shared" si="32"/>
        <v>0,187913548489163+2,49296022396953j</v>
      </c>
      <c r="N64" s="631" t="str">
        <f t="shared" si="32"/>
        <v>0</v>
      </c>
      <c r="O64" s="671" t="str">
        <f t="shared" si="27"/>
        <v>0,375827096978322</v>
      </c>
      <c r="P64" s="922"/>
      <c r="Q64" s="923"/>
      <c r="R64" s="672"/>
      <c r="S64" s="672"/>
      <c r="T64" s="672"/>
    </row>
    <row r="65" spans="1:20" ht="15.75" thickBot="1" x14ac:dyDescent="0.3">
      <c r="B65" s="677">
        <f t="shared" si="21"/>
        <v>9</v>
      </c>
      <c r="C65" s="678">
        <f t="shared" si="22"/>
        <v>0.23750000000000002</v>
      </c>
      <c r="D65" s="679" t="str">
        <f t="shared" si="28"/>
        <v>4,858</v>
      </c>
      <c r="E65" s="680" t="str">
        <f t="shared" ref="E65:N65" si="33">IMPRODUCT(IMDIV(E$54,$B$6),COMPLEX(COS(E101),SIN(E101),"j"))</f>
        <v>0</v>
      </c>
      <c r="F65" s="644" t="str">
        <f t="shared" si="33"/>
        <v>0</v>
      </c>
      <c r="G65" s="644" t="str">
        <f t="shared" si="33"/>
        <v>2,4290145458273-0,591650670716601j</v>
      </c>
      <c r="H65" s="644" t="str">
        <f t="shared" si="33"/>
        <v>0</v>
      </c>
      <c r="I65" s="644" t="str">
        <f t="shared" si="33"/>
        <v>0</v>
      </c>
      <c r="J65" s="644" t="str">
        <f t="shared" si="33"/>
        <v>0</v>
      </c>
      <c r="K65" s="644" t="str">
        <f t="shared" si="33"/>
        <v>0</v>
      </c>
      <c r="L65" s="644" t="str">
        <f t="shared" si="33"/>
        <v>0</v>
      </c>
      <c r="M65" s="644" t="str">
        <f t="shared" si="33"/>
        <v>2,4290145458273+0,591650670716595j</v>
      </c>
      <c r="N65" s="645" t="str">
        <f t="shared" si="33"/>
        <v>0</v>
      </c>
      <c r="O65" s="671" t="str">
        <f t="shared" si="27"/>
        <v>4,8580290916546-5,99520433297585E-15j</v>
      </c>
      <c r="P65" s="924"/>
      <c r="Q65" s="925"/>
      <c r="R65" s="672"/>
      <c r="S65" s="672"/>
      <c r="T65" s="672"/>
    </row>
    <row r="66" spans="1:20" x14ac:dyDescent="0.25">
      <c r="D66" s="681" t="s">
        <v>520</v>
      </c>
      <c r="E66" s="682"/>
      <c r="F66" s="682"/>
      <c r="G66" s="682"/>
      <c r="H66" s="682"/>
      <c r="I66" s="682"/>
      <c r="J66" s="682"/>
      <c r="K66" s="682"/>
      <c r="L66" s="682"/>
    </row>
    <row r="67" spans="1:20" x14ac:dyDescent="0.25">
      <c r="D67" s="683"/>
    </row>
    <row r="68" spans="1:20" x14ac:dyDescent="0.25">
      <c r="A68" s="42" t="s">
        <v>521</v>
      </c>
      <c r="D68" s="683"/>
    </row>
    <row r="69" spans="1:20" x14ac:dyDescent="0.25">
      <c r="A69" s="684" t="s">
        <v>522</v>
      </c>
      <c r="D69" s="683"/>
    </row>
    <row r="70" spans="1:20" x14ac:dyDescent="0.25">
      <c r="A70" s="684" t="s">
        <v>523</v>
      </c>
      <c r="D70" s="683"/>
    </row>
    <row r="71" spans="1:20" x14ac:dyDescent="0.25">
      <c r="A71" s="684" t="s">
        <v>524</v>
      </c>
      <c r="D71" s="683"/>
    </row>
    <row r="74" spans="1:20" ht="15.75" thickBot="1" x14ac:dyDescent="0.3">
      <c r="A74" s="685" t="s">
        <v>525</v>
      </c>
      <c r="B74" s="686"/>
      <c r="C74" s="687"/>
      <c r="D74" s="688"/>
      <c r="E74" s="688"/>
      <c r="F74" s="688"/>
      <c r="G74" s="688"/>
      <c r="H74" s="688"/>
      <c r="I74" s="688"/>
      <c r="J74" s="59"/>
      <c r="K74" s="688"/>
      <c r="L74" s="688"/>
      <c r="M74" s="688"/>
      <c r="N74" s="688"/>
    </row>
    <row r="75" spans="1:20" ht="15" customHeight="1" thickBot="1" x14ac:dyDescent="0.3">
      <c r="D75" s="13"/>
      <c r="E75" s="926" t="s">
        <v>517</v>
      </c>
      <c r="F75" s="927"/>
      <c r="G75" s="927"/>
      <c r="H75" s="927"/>
      <c r="I75" s="927"/>
      <c r="J75" s="927"/>
      <c r="K75" s="927"/>
      <c r="L75" s="927"/>
      <c r="M75" s="927"/>
      <c r="N75" s="928"/>
    </row>
    <row r="76" spans="1:20" ht="15" customHeight="1" thickBot="1" x14ac:dyDescent="0.3">
      <c r="C76" s="13"/>
      <c r="D76" s="689" t="s">
        <v>526</v>
      </c>
      <c r="E76" s="677">
        <v>0</v>
      </c>
      <c r="F76" s="690">
        <v>1</v>
      </c>
      <c r="G76" s="690">
        <v>2</v>
      </c>
      <c r="H76" s="690">
        <v>3</v>
      </c>
      <c r="I76" s="690">
        <v>4</v>
      </c>
      <c r="J76" s="690">
        <v>5</v>
      </c>
      <c r="K76" s="690">
        <v>6</v>
      </c>
      <c r="L76" s="690">
        <v>7</v>
      </c>
      <c r="M76" s="690">
        <v>8</v>
      </c>
      <c r="N76" s="691">
        <v>9</v>
      </c>
      <c r="O76" s="609"/>
      <c r="P76" s="609"/>
    </row>
    <row r="77" spans="1:20" x14ac:dyDescent="0.25">
      <c r="C77" s="929" t="s">
        <v>514</v>
      </c>
      <c r="D77" s="692">
        <v>0</v>
      </c>
      <c r="E77" s="693">
        <f t="shared" ref="E77:N81" si="34">$D77*E$76</f>
        <v>0</v>
      </c>
      <c r="F77" s="694">
        <f t="shared" si="34"/>
        <v>0</v>
      </c>
      <c r="G77" s="694">
        <f t="shared" si="34"/>
        <v>0</v>
      </c>
      <c r="H77" s="694">
        <f t="shared" si="34"/>
        <v>0</v>
      </c>
      <c r="I77" s="694">
        <f t="shared" si="34"/>
        <v>0</v>
      </c>
      <c r="J77" s="694">
        <f t="shared" si="34"/>
        <v>0</v>
      </c>
      <c r="K77" s="694">
        <f t="shared" si="34"/>
        <v>0</v>
      </c>
      <c r="L77" s="694">
        <f t="shared" si="34"/>
        <v>0</v>
      </c>
      <c r="M77" s="694">
        <f t="shared" si="34"/>
        <v>0</v>
      </c>
      <c r="N77" s="695">
        <f t="shared" si="34"/>
        <v>0</v>
      </c>
      <c r="O77" s="696"/>
      <c r="P77" s="696"/>
    </row>
    <row r="78" spans="1:20" x14ac:dyDescent="0.25">
      <c r="C78" s="930"/>
      <c r="D78" s="697">
        <v>1</v>
      </c>
      <c r="E78" s="698">
        <f t="shared" si="34"/>
        <v>0</v>
      </c>
      <c r="F78" s="699">
        <f t="shared" si="34"/>
        <v>1</v>
      </c>
      <c r="G78" s="699">
        <f t="shared" si="34"/>
        <v>2</v>
      </c>
      <c r="H78" s="699">
        <f t="shared" si="34"/>
        <v>3</v>
      </c>
      <c r="I78" s="699">
        <f t="shared" si="34"/>
        <v>4</v>
      </c>
      <c r="J78" s="699">
        <f t="shared" si="34"/>
        <v>5</v>
      </c>
      <c r="K78" s="699">
        <f t="shared" si="34"/>
        <v>6</v>
      </c>
      <c r="L78" s="699">
        <f t="shared" si="34"/>
        <v>7</v>
      </c>
      <c r="M78" s="699">
        <f t="shared" si="34"/>
        <v>8</v>
      </c>
      <c r="N78" s="700">
        <f t="shared" si="34"/>
        <v>9</v>
      </c>
      <c r="O78" s="696"/>
      <c r="P78" s="696"/>
    </row>
    <row r="79" spans="1:20" x14ac:dyDescent="0.25">
      <c r="C79" s="930"/>
      <c r="D79" s="697">
        <v>2</v>
      </c>
      <c r="E79" s="698">
        <f t="shared" si="34"/>
        <v>0</v>
      </c>
      <c r="F79" s="699">
        <f t="shared" si="34"/>
        <v>2</v>
      </c>
      <c r="G79" s="699">
        <f t="shared" si="34"/>
        <v>4</v>
      </c>
      <c r="H79" s="699">
        <f t="shared" si="34"/>
        <v>6</v>
      </c>
      <c r="I79" s="699">
        <f t="shared" si="34"/>
        <v>8</v>
      </c>
      <c r="J79" s="699">
        <f t="shared" si="34"/>
        <v>10</v>
      </c>
      <c r="K79" s="699">
        <f t="shared" si="34"/>
        <v>12</v>
      </c>
      <c r="L79" s="699">
        <f t="shared" si="34"/>
        <v>14</v>
      </c>
      <c r="M79" s="699">
        <f t="shared" si="34"/>
        <v>16</v>
      </c>
      <c r="N79" s="700">
        <f t="shared" si="34"/>
        <v>18</v>
      </c>
      <c r="O79" s="696"/>
      <c r="P79" s="696"/>
    </row>
    <row r="80" spans="1:20" x14ac:dyDescent="0.25">
      <c r="C80" s="930"/>
      <c r="D80" s="697">
        <v>3</v>
      </c>
      <c r="E80" s="698">
        <f t="shared" si="34"/>
        <v>0</v>
      </c>
      <c r="F80" s="699">
        <f t="shared" si="34"/>
        <v>3</v>
      </c>
      <c r="G80" s="699">
        <f t="shared" si="34"/>
        <v>6</v>
      </c>
      <c r="H80" s="699">
        <f t="shared" si="34"/>
        <v>9</v>
      </c>
      <c r="I80" s="699">
        <f t="shared" si="34"/>
        <v>12</v>
      </c>
      <c r="J80" s="699">
        <f t="shared" si="34"/>
        <v>15</v>
      </c>
      <c r="K80" s="699">
        <f t="shared" si="34"/>
        <v>18</v>
      </c>
      <c r="L80" s="699">
        <f t="shared" si="34"/>
        <v>21</v>
      </c>
      <c r="M80" s="699">
        <f t="shared" si="34"/>
        <v>24</v>
      </c>
      <c r="N80" s="700">
        <f t="shared" si="34"/>
        <v>27</v>
      </c>
      <c r="O80" s="696"/>
      <c r="P80" s="696"/>
    </row>
    <row r="81" spans="1:16" x14ac:dyDescent="0.25">
      <c r="C81" s="930"/>
      <c r="D81" s="697">
        <v>4</v>
      </c>
      <c r="E81" s="698">
        <f t="shared" si="34"/>
        <v>0</v>
      </c>
      <c r="F81" s="699">
        <f t="shared" si="34"/>
        <v>4</v>
      </c>
      <c r="G81" s="699">
        <f t="shared" si="34"/>
        <v>8</v>
      </c>
      <c r="H81" s="699">
        <f t="shared" si="34"/>
        <v>12</v>
      </c>
      <c r="I81" s="699">
        <f t="shared" si="34"/>
        <v>16</v>
      </c>
      <c r="J81" s="699">
        <f t="shared" si="34"/>
        <v>20</v>
      </c>
      <c r="K81" s="699">
        <f t="shared" si="34"/>
        <v>24</v>
      </c>
      <c r="L81" s="699">
        <f t="shared" si="34"/>
        <v>28</v>
      </c>
      <c r="M81" s="699">
        <f t="shared" si="34"/>
        <v>32</v>
      </c>
      <c r="N81" s="700">
        <f t="shared" si="34"/>
        <v>36</v>
      </c>
      <c r="O81" s="696"/>
      <c r="P81" s="696"/>
    </row>
    <row r="82" spans="1:16" x14ac:dyDescent="0.25">
      <c r="C82" s="930"/>
      <c r="D82" s="697">
        <v>5</v>
      </c>
      <c r="E82" s="698">
        <f t="shared" ref="E82:I86" si="35">$D82*E$76</f>
        <v>0</v>
      </c>
      <c r="F82" s="699">
        <f t="shared" si="35"/>
        <v>5</v>
      </c>
      <c r="G82" s="699">
        <f t="shared" si="35"/>
        <v>10</v>
      </c>
      <c r="H82" s="699">
        <f t="shared" si="35"/>
        <v>15</v>
      </c>
      <c r="I82" s="699">
        <f t="shared" si="35"/>
        <v>20</v>
      </c>
      <c r="J82" s="699">
        <f t="shared" ref="J82:N86" si="36">$D82*J$76</f>
        <v>25</v>
      </c>
      <c r="K82" s="699">
        <f t="shared" si="36"/>
        <v>30</v>
      </c>
      <c r="L82" s="699">
        <f t="shared" si="36"/>
        <v>35</v>
      </c>
      <c r="M82" s="699">
        <f t="shared" si="36"/>
        <v>40</v>
      </c>
      <c r="N82" s="700">
        <f t="shared" si="36"/>
        <v>45</v>
      </c>
      <c r="O82" s="696"/>
      <c r="P82" s="696"/>
    </row>
    <row r="83" spans="1:16" x14ac:dyDescent="0.25">
      <c r="C83" s="930"/>
      <c r="D83" s="697">
        <v>6</v>
      </c>
      <c r="E83" s="698">
        <f t="shared" si="35"/>
        <v>0</v>
      </c>
      <c r="F83" s="699">
        <f t="shared" si="35"/>
        <v>6</v>
      </c>
      <c r="G83" s="699">
        <f t="shared" si="35"/>
        <v>12</v>
      </c>
      <c r="H83" s="699">
        <f t="shared" si="35"/>
        <v>18</v>
      </c>
      <c r="I83" s="699">
        <f t="shared" si="35"/>
        <v>24</v>
      </c>
      <c r="J83" s="699">
        <f t="shared" si="36"/>
        <v>30</v>
      </c>
      <c r="K83" s="699">
        <f t="shared" si="36"/>
        <v>36</v>
      </c>
      <c r="L83" s="699">
        <f t="shared" si="36"/>
        <v>42</v>
      </c>
      <c r="M83" s="699">
        <f t="shared" si="36"/>
        <v>48</v>
      </c>
      <c r="N83" s="700">
        <f t="shared" si="36"/>
        <v>54</v>
      </c>
      <c r="O83" s="696"/>
      <c r="P83" s="696"/>
    </row>
    <row r="84" spans="1:16" x14ac:dyDescent="0.25">
      <c r="C84" s="930"/>
      <c r="D84" s="697">
        <v>7</v>
      </c>
      <c r="E84" s="698">
        <f t="shared" si="35"/>
        <v>0</v>
      </c>
      <c r="F84" s="699">
        <f t="shared" si="35"/>
        <v>7</v>
      </c>
      <c r="G84" s="699">
        <f t="shared" si="35"/>
        <v>14</v>
      </c>
      <c r="H84" s="699">
        <f t="shared" si="35"/>
        <v>21</v>
      </c>
      <c r="I84" s="699">
        <f t="shared" si="35"/>
        <v>28</v>
      </c>
      <c r="J84" s="699">
        <f t="shared" si="36"/>
        <v>35</v>
      </c>
      <c r="K84" s="699">
        <f t="shared" si="36"/>
        <v>42</v>
      </c>
      <c r="L84" s="699">
        <f t="shared" si="36"/>
        <v>49</v>
      </c>
      <c r="M84" s="699">
        <f t="shared" si="36"/>
        <v>56</v>
      </c>
      <c r="N84" s="700">
        <f t="shared" si="36"/>
        <v>63</v>
      </c>
      <c r="O84" s="696"/>
      <c r="P84" s="696"/>
    </row>
    <row r="85" spans="1:16" x14ac:dyDescent="0.25">
      <c r="C85" s="930"/>
      <c r="D85" s="697">
        <v>8</v>
      </c>
      <c r="E85" s="698">
        <f t="shared" si="35"/>
        <v>0</v>
      </c>
      <c r="F85" s="699">
        <f t="shared" si="35"/>
        <v>8</v>
      </c>
      <c r="G85" s="699">
        <f t="shared" si="35"/>
        <v>16</v>
      </c>
      <c r="H85" s="699">
        <f t="shared" si="35"/>
        <v>24</v>
      </c>
      <c r="I85" s="699">
        <f t="shared" si="35"/>
        <v>32</v>
      </c>
      <c r="J85" s="699">
        <f t="shared" si="36"/>
        <v>40</v>
      </c>
      <c r="K85" s="699">
        <f t="shared" si="36"/>
        <v>48</v>
      </c>
      <c r="L85" s="699">
        <f t="shared" si="36"/>
        <v>56</v>
      </c>
      <c r="M85" s="699">
        <f t="shared" si="36"/>
        <v>64</v>
      </c>
      <c r="N85" s="700">
        <f t="shared" si="36"/>
        <v>72</v>
      </c>
      <c r="O85" s="696"/>
      <c r="P85" s="696"/>
    </row>
    <row r="86" spans="1:16" ht="15.75" thickBot="1" x14ac:dyDescent="0.3">
      <c r="C86" s="931"/>
      <c r="D86" s="701">
        <v>9</v>
      </c>
      <c r="E86" s="702">
        <f t="shared" si="35"/>
        <v>0</v>
      </c>
      <c r="F86" s="703">
        <f t="shared" si="35"/>
        <v>9</v>
      </c>
      <c r="G86" s="703">
        <f t="shared" si="35"/>
        <v>18</v>
      </c>
      <c r="H86" s="703">
        <f t="shared" si="35"/>
        <v>27</v>
      </c>
      <c r="I86" s="703">
        <f t="shared" si="35"/>
        <v>36</v>
      </c>
      <c r="J86" s="703">
        <f t="shared" si="36"/>
        <v>45</v>
      </c>
      <c r="K86" s="703">
        <f t="shared" si="36"/>
        <v>54</v>
      </c>
      <c r="L86" s="703">
        <f t="shared" si="36"/>
        <v>63</v>
      </c>
      <c r="M86" s="703">
        <f t="shared" si="36"/>
        <v>72</v>
      </c>
      <c r="N86" s="704">
        <f t="shared" si="36"/>
        <v>81</v>
      </c>
      <c r="O86" s="696"/>
      <c r="P86" s="696"/>
    </row>
    <row r="87" spans="1:16" x14ac:dyDescent="0.25">
      <c r="C87" s="646"/>
      <c r="D87" s="646"/>
      <c r="E87" s="696"/>
      <c r="F87" s="696"/>
      <c r="G87" s="696"/>
      <c r="H87" s="696"/>
      <c r="I87" s="696"/>
      <c r="J87" s="696"/>
      <c r="K87" s="696"/>
      <c r="L87" s="696"/>
      <c r="M87" s="696"/>
      <c r="N87" s="696"/>
      <c r="O87" s="696"/>
      <c r="P87" s="696"/>
    </row>
    <row r="88" spans="1:16" x14ac:dyDescent="0.25">
      <c r="C88" s="646"/>
      <c r="D88" s="646"/>
      <c r="E88" s="696"/>
      <c r="F88" s="696"/>
      <c r="G88" s="696"/>
      <c r="H88" s="696"/>
      <c r="I88" s="696"/>
      <c r="J88" s="696"/>
      <c r="K88" s="696"/>
      <c r="L88" s="696"/>
      <c r="M88" s="696"/>
      <c r="N88" s="696"/>
      <c r="O88" s="696"/>
      <c r="P88" s="696"/>
    </row>
    <row r="89" spans="1:16" x14ac:dyDescent="0.25">
      <c r="A89" s="705" t="s">
        <v>527</v>
      </c>
      <c r="B89" s="706">
        <f>2*PI()/B6</f>
        <v>0.62831853071795862</v>
      </c>
      <c r="C89" s="707" t="s">
        <v>528</v>
      </c>
      <c r="D89" s="646"/>
      <c r="E89" s="696"/>
      <c r="F89" s="696"/>
      <c r="G89" s="696"/>
      <c r="H89" s="696"/>
      <c r="I89" s="696"/>
      <c r="J89" s="696"/>
      <c r="K89" s="696"/>
      <c r="L89" s="696"/>
      <c r="M89" s="696"/>
      <c r="N89" s="696"/>
      <c r="O89" s="696"/>
      <c r="P89" s="696"/>
    </row>
    <row r="90" spans="1:16" ht="15.75" thickBot="1" x14ac:dyDescent="0.3">
      <c r="E90" s="67"/>
      <c r="F90" s="67"/>
      <c r="G90" s="67"/>
      <c r="H90" s="67"/>
      <c r="I90" s="67"/>
      <c r="K90" s="67"/>
      <c r="L90" s="67"/>
      <c r="M90" s="67"/>
      <c r="N90" s="67"/>
      <c r="O90" s="67"/>
    </row>
    <row r="91" spans="1:16" ht="15.75" thickBot="1" x14ac:dyDescent="0.3">
      <c r="E91" s="932" t="s">
        <v>529</v>
      </c>
      <c r="F91" s="933"/>
      <c r="G91" s="933"/>
      <c r="H91" s="933"/>
      <c r="I91" s="933"/>
      <c r="J91" s="933"/>
      <c r="K91" s="933"/>
      <c r="L91" s="933"/>
      <c r="M91" s="933"/>
      <c r="N91" s="934"/>
      <c r="O91" s="67"/>
    </row>
    <row r="92" spans="1:16" x14ac:dyDescent="0.25">
      <c r="E92" s="708">
        <f t="shared" ref="E92:N92" si="37">E77*$B$89</f>
        <v>0</v>
      </c>
      <c r="F92" s="709">
        <f t="shared" si="37"/>
        <v>0</v>
      </c>
      <c r="G92" s="709">
        <f t="shared" si="37"/>
        <v>0</v>
      </c>
      <c r="H92" s="709">
        <f t="shared" si="37"/>
        <v>0</v>
      </c>
      <c r="I92" s="709">
        <f t="shared" si="37"/>
        <v>0</v>
      </c>
      <c r="J92" s="709">
        <f t="shared" si="37"/>
        <v>0</v>
      </c>
      <c r="K92" s="709">
        <f t="shared" si="37"/>
        <v>0</v>
      </c>
      <c r="L92" s="709">
        <f t="shared" si="37"/>
        <v>0</v>
      </c>
      <c r="M92" s="709">
        <f t="shared" si="37"/>
        <v>0</v>
      </c>
      <c r="N92" s="710">
        <f t="shared" si="37"/>
        <v>0</v>
      </c>
      <c r="O92" s="67"/>
    </row>
    <row r="93" spans="1:16" x14ac:dyDescent="0.25">
      <c r="E93" s="711">
        <f t="shared" ref="E93:N93" si="38">E78*$B$89</f>
        <v>0</v>
      </c>
      <c r="F93" s="712">
        <f t="shared" si="38"/>
        <v>0.62831853071795862</v>
      </c>
      <c r="G93" s="712">
        <f t="shared" si="38"/>
        <v>1.2566370614359172</v>
      </c>
      <c r="H93" s="712">
        <f t="shared" si="38"/>
        <v>1.8849555921538759</v>
      </c>
      <c r="I93" s="712">
        <f t="shared" si="38"/>
        <v>2.5132741228718345</v>
      </c>
      <c r="J93" s="712">
        <f t="shared" si="38"/>
        <v>3.1415926535897931</v>
      </c>
      <c r="K93" s="712">
        <f t="shared" si="38"/>
        <v>3.7699111843077517</v>
      </c>
      <c r="L93" s="712">
        <f t="shared" si="38"/>
        <v>4.3982297150257104</v>
      </c>
      <c r="M93" s="712">
        <f t="shared" si="38"/>
        <v>5.026548245743669</v>
      </c>
      <c r="N93" s="713">
        <f t="shared" si="38"/>
        <v>5.6548667764616276</v>
      </c>
      <c r="O93" s="67"/>
    </row>
    <row r="94" spans="1:16" x14ac:dyDescent="0.25">
      <c r="E94" s="711">
        <f t="shared" ref="E94:N94" si="39">E79*$B$89</f>
        <v>0</v>
      </c>
      <c r="F94" s="712">
        <f t="shared" si="39"/>
        <v>1.2566370614359172</v>
      </c>
      <c r="G94" s="712">
        <f t="shared" si="39"/>
        <v>2.5132741228718345</v>
      </c>
      <c r="H94" s="712">
        <f t="shared" si="39"/>
        <v>3.7699111843077517</v>
      </c>
      <c r="I94" s="712">
        <f t="shared" si="39"/>
        <v>5.026548245743669</v>
      </c>
      <c r="J94" s="712">
        <f t="shared" si="39"/>
        <v>6.2831853071795862</v>
      </c>
      <c r="K94" s="712">
        <f t="shared" si="39"/>
        <v>7.5398223686155035</v>
      </c>
      <c r="L94" s="712">
        <f t="shared" si="39"/>
        <v>8.7964594300514207</v>
      </c>
      <c r="M94" s="712">
        <f t="shared" si="39"/>
        <v>10.053096491487338</v>
      </c>
      <c r="N94" s="713">
        <f t="shared" si="39"/>
        <v>11.309733552923255</v>
      </c>
      <c r="O94" s="67"/>
    </row>
    <row r="95" spans="1:16" x14ac:dyDescent="0.25">
      <c r="E95" s="711">
        <f t="shared" ref="E95:N95" si="40">E80*$B$89</f>
        <v>0</v>
      </c>
      <c r="F95" s="712">
        <f t="shared" si="40"/>
        <v>1.8849555921538759</v>
      </c>
      <c r="G95" s="712">
        <f t="shared" si="40"/>
        <v>3.7699111843077517</v>
      </c>
      <c r="H95" s="712">
        <f t="shared" si="40"/>
        <v>5.6548667764616276</v>
      </c>
      <c r="I95" s="712">
        <f t="shared" si="40"/>
        <v>7.5398223686155035</v>
      </c>
      <c r="J95" s="712">
        <f t="shared" si="40"/>
        <v>9.4247779607693793</v>
      </c>
      <c r="K95" s="712">
        <f t="shared" si="40"/>
        <v>11.309733552923255</v>
      </c>
      <c r="L95" s="712">
        <f t="shared" si="40"/>
        <v>13.194689145077131</v>
      </c>
      <c r="M95" s="712">
        <f t="shared" si="40"/>
        <v>15.079644737231007</v>
      </c>
      <c r="N95" s="713">
        <f t="shared" si="40"/>
        <v>16.964600329384883</v>
      </c>
      <c r="O95" s="67"/>
    </row>
    <row r="96" spans="1:16" x14ac:dyDescent="0.25">
      <c r="E96" s="711">
        <f t="shared" ref="E96:N96" si="41">E81*$B$89</f>
        <v>0</v>
      </c>
      <c r="F96" s="712">
        <f t="shared" si="41"/>
        <v>2.5132741228718345</v>
      </c>
      <c r="G96" s="712">
        <f t="shared" si="41"/>
        <v>5.026548245743669</v>
      </c>
      <c r="H96" s="712">
        <f t="shared" si="41"/>
        <v>7.5398223686155035</v>
      </c>
      <c r="I96" s="712">
        <f t="shared" si="41"/>
        <v>10.053096491487338</v>
      </c>
      <c r="J96" s="712">
        <f t="shared" si="41"/>
        <v>12.566370614359172</v>
      </c>
      <c r="K96" s="712">
        <f t="shared" si="41"/>
        <v>15.079644737231007</v>
      </c>
      <c r="L96" s="712">
        <f t="shared" si="41"/>
        <v>17.592918860102841</v>
      </c>
      <c r="M96" s="712">
        <f t="shared" si="41"/>
        <v>20.106192982974676</v>
      </c>
      <c r="N96" s="713">
        <f t="shared" si="41"/>
        <v>22.61946710584651</v>
      </c>
      <c r="O96" s="67"/>
    </row>
    <row r="97" spans="5:14" x14ac:dyDescent="0.25">
      <c r="E97" s="711">
        <f t="shared" ref="E97:N100" si="42">E82*$B$89</f>
        <v>0</v>
      </c>
      <c r="F97" s="712">
        <f t="shared" si="42"/>
        <v>3.1415926535897931</v>
      </c>
      <c r="G97" s="712">
        <f t="shared" si="42"/>
        <v>6.2831853071795862</v>
      </c>
      <c r="H97" s="712">
        <f t="shared" si="42"/>
        <v>9.4247779607693793</v>
      </c>
      <c r="I97" s="712">
        <f t="shared" si="42"/>
        <v>12.566370614359172</v>
      </c>
      <c r="J97" s="712">
        <f t="shared" si="42"/>
        <v>15.707963267948966</v>
      </c>
      <c r="K97" s="712">
        <f t="shared" si="42"/>
        <v>18.849555921538759</v>
      </c>
      <c r="L97" s="712">
        <f t="shared" si="42"/>
        <v>21.991148575128552</v>
      </c>
      <c r="M97" s="712">
        <f t="shared" si="42"/>
        <v>25.132741228718345</v>
      </c>
      <c r="N97" s="713">
        <f t="shared" si="42"/>
        <v>28.274333882308138</v>
      </c>
    </row>
    <row r="98" spans="5:14" x14ac:dyDescent="0.25">
      <c r="E98" s="711">
        <f t="shared" si="42"/>
        <v>0</v>
      </c>
      <c r="F98" s="712">
        <f t="shared" si="42"/>
        <v>3.7699111843077517</v>
      </c>
      <c r="G98" s="712">
        <f t="shared" si="42"/>
        <v>7.5398223686155035</v>
      </c>
      <c r="H98" s="712">
        <f t="shared" si="42"/>
        <v>11.309733552923255</v>
      </c>
      <c r="I98" s="712">
        <f t="shared" si="42"/>
        <v>15.079644737231007</v>
      </c>
      <c r="J98" s="712">
        <f t="shared" si="42"/>
        <v>18.849555921538759</v>
      </c>
      <c r="K98" s="712">
        <f t="shared" si="42"/>
        <v>22.61946710584651</v>
      </c>
      <c r="L98" s="712">
        <f t="shared" si="42"/>
        <v>26.389378290154262</v>
      </c>
      <c r="M98" s="712">
        <f t="shared" si="42"/>
        <v>30.159289474462014</v>
      </c>
      <c r="N98" s="713">
        <f t="shared" si="42"/>
        <v>33.929200658769766</v>
      </c>
    </row>
    <row r="99" spans="5:14" x14ac:dyDescent="0.25">
      <c r="E99" s="711">
        <f t="shared" si="42"/>
        <v>0</v>
      </c>
      <c r="F99" s="712">
        <f t="shared" si="42"/>
        <v>4.3982297150257104</v>
      </c>
      <c r="G99" s="712">
        <f t="shared" si="42"/>
        <v>8.7964594300514207</v>
      </c>
      <c r="H99" s="712">
        <f t="shared" si="42"/>
        <v>13.194689145077131</v>
      </c>
      <c r="I99" s="712">
        <f t="shared" si="42"/>
        <v>17.592918860102841</v>
      </c>
      <c r="J99" s="712">
        <f t="shared" si="42"/>
        <v>21.991148575128552</v>
      </c>
      <c r="K99" s="712">
        <f t="shared" si="42"/>
        <v>26.389378290154262</v>
      </c>
      <c r="L99" s="712">
        <f t="shared" si="42"/>
        <v>30.787608005179973</v>
      </c>
      <c r="M99" s="712">
        <f t="shared" si="42"/>
        <v>35.185837720205683</v>
      </c>
      <c r="N99" s="713">
        <f t="shared" si="42"/>
        <v>39.58406743523139</v>
      </c>
    </row>
    <row r="100" spans="5:14" x14ac:dyDescent="0.25">
      <c r="E100" s="711">
        <f t="shared" si="42"/>
        <v>0</v>
      </c>
      <c r="F100" s="712">
        <f t="shared" si="42"/>
        <v>5.026548245743669</v>
      </c>
      <c r="G100" s="712">
        <f t="shared" si="42"/>
        <v>10.053096491487338</v>
      </c>
      <c r="H100" s="712">
        <f t="shared" si="42"/>
        <v>15.079644737231007</v>
      </c>
      <c r="I100" s="712">
        <f t="shared" si="42"/>
        <v>20.106192982974676</v>
      </c>
      <c r="J100" s="712">
        <f t="shared" si="42"/>
        <v>25.132741228718345</v>
      </c>
      <c r="K100" s="712">
        <f t="shared" si="42"/>
        <v>30.159289474462014</v>
      </c>
      <c r="L100" s="712">
        <f t="shared" si="42"/>
        <v>35.185837720205683</v>
      </c>
      <c r="M100" s="712">
        <f t="shared" si="42"/>
        <v>40.212385965949352</v>
      </c>
      <c r="N100" s="713">
        <f t="shared" si="42"/>
        <v>45.238934211693021</v>
      </c>
    </row>
    <row r="101" spans="5:14" ht="15.75" thickBot="1" x14ac:dyDescent="0.3">
      <c r="E101" s="714">
        <f t="shared" ref="E101:N101" si="43">E86*$B$89</f>
        <v>0</v>
      </c>
      <c r="F101" s="715">
        <f t="shared" si="43"/>
        <v>5.6548667764616276</v>
      </c>
      <c r="G101" s="715">
        <f t="shared" si="43"/>
        <v>11.309733552923255</v>
      </c>
      <c r="H101" s="715">
        <f t="shared" si="43"/>
        <v>16.964600329384883</v>
      </c>
      <c r="I101" s="715">
        <f t="shared" si="43"/>
        <v>22.61946710584651</v>
      </c>
      <c r="J101" s="715">
        <f t="shared" si="43"/>
        <v>28.274333882308138</v>
      </c>
      <c r="K101" s="715">
        <f t="shared" si="43"/>
        <v>33.929200658769766</v>
      </c>
      <c r="L101" s="715">
        <f t="shared" si="43"/>
        <v>39.58406743523139</v>
      </c>
      <c r="M101" s="715">
        <f t="shared" si="43"/>
        <v>45.238934211693021</v>
      </c>
      <c r="N101" s="716">
        <f t="shared" si="43"/>
        <v>50.893800988154652</v>
      </c>
    </row>
  </sheetData>
  <mergeCells count="10">
    <mergeCell ref="P56:Q65"/>
    <mergeCell ref="E75:N75"/>
    <mergeCell ref="C77:C86"/>
    <mergeCell ref="E91:N91"/>
    <mergeCell ref="A3:B3"/>
    <mergeCell ref="A9:B9"/>
    <mergeCell ref="A12:B12"/>
    <mergeCell ref="E38:N38"/>
    <mergeCell ref="P39:Q48"/>
    <mergeCell ref="E55:N55"/>
  </mergeCells>
  <hyperlinks>
    <hyperlink ref="A69" r:id="rId1" xr:uid="{34548A7A-B0CF-4EEA-8EC2-86893FCE7FD6}"/>
    <hyperlink ref="A70" r:id="rId2" xr:uid="{4DF847FC-213A-4708-8E04-E126D7CD7BDB}"/>
    <hyperlink ref="A71" r:id="rId3" xr:uid="{CDC26173-C3BC-418C-AAAD-685B5641199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EEEA8-0C93-446C-B3A9-03388FE5EE3D}">
  <dimension ref="A1:H14"/>
  <sheetViews>
    <sheetView workbookViewId="0">
      <selection activeCell="N8" sqref="N8:R24"/>
    </sheetView>
  </sheetViews>
  <sheetFormatPr baseColWidth="10" defaultColWidth="10.85546875" defaultRowHeight="15" x14ac:dyDescent="0.25"/>
  <cols>
    <col min="1" max="1" width="11.85546875" style="253" customWidth="1"/>
    <col min="2" max="7" width="4.7109375" style="253" customWidth="1"/>
    <col min="8" max="8" width="9.42578125" style="253" customWidth="1"/>
    <col min="9" max="15" width="10.85546875" style="253"/>
    <col min="16" max="18" width="11.28515625" style="253" bestFit="1" customWidth="1"/>
    <col min="19" max="16384" width="10.85546875" style="253"/>
  </cols>
  <sheetData>
    <row r="1" spans="1:8" ht="18.75" x14ac:dyDescent="0.25">
      <c r="A1" s="254" t="s">
        <v>297</v>
      </c>
    </row>
    <row r="3" spans="1:8" x14ac:dyDescent="0.25">
      <c r="A3" s="263"/>
      <c r="B3" s="796" t="s">
        <v>301</v>
      </c>
      <c r="C3" s="797"/>
      <c r="D3" s="797"/>
      <c r="E3" s="797"/>
      <c r="F3" s="797"/>
      <c r="G3" s="797"/>
    </row>
    <row r="4" spans="1:8" ht="17.100000000000001" customHeight="1" x14ac:dyDescent="0.25">
      <c r="A4" s="794" t="s">
        <v>300</v>
      </c>
      <c r="B4" s="792" t="s">
        <v>298</v>
      </c>
      <c r="C4" s="793"/>
      <c r="D4" s="793"/>
      <c r="E4" s="793"/>
      <c r="F4" s="793"/>
      <c r="G4" s="793"/>
      <c r="H4" s="797" t="s">
        <v>299</v>
      </c>
    </row>
    <row r="5" spans="1:8" ht="15.75" thickBot="1" x14ac:dyDescent="0.3">
      <c r="A5" s="795"/>
      <c r="B5" s="264">
        <v>0</v>
      </c>
      <c r="C5" s="258">
        <v>1</v>
      </c>
      <c r="D5" s="258">
        <v>2</v>
      </c>
      <c r="E5" s="258">
        <v>3</v>
      </c>
      <c r="F5" s="258">
        <v>5</v>
      </c>
      <c r="G5" s="258">
        <v>6</v>
      </c>
      <c r="H5" s="798"/>
    </row>
    <row r="6" spans="1:8" ht="15.75" thickTop="1" x14ac:dyDescent="0.25">
      <c r="A6" s="261">
        <v>0.5</v>
      </c>
      <c r="B6" s="259">
        <f>$A6*2^B$5</f>
        <v>0.5</v>
      </c>
      <c r="C6" s="257">
        <f t="shared" ref="C6:G14" si="0">$A6*2^C$5</f>
        <v>1</v>
      </c>
      <c r="D6" s="257">
        <f t="shared" si="0"/>
        <v>2</v>
      </c>
      <c r="E6" s="257">
        <f t="shared" si="0"/>
        <v>4</v>
      </c>
      <c r="F6" s="257">
        <f t="shared" si="0"/>
        <v>16</v>
      </c>
      <c r="G6" s="257">
        <f t="shared" si="0"/>
        <v>32</v>
      </c>
      <c r="H6" s="257">
        <f>20/A6</f>
        <v>40</v>
      </c>
    </row>
    <row r="7" spans="1:8" x14ac:dyDescent="0.25">
      <c r="A7" s="262">
        <v>0.625</v>
      </c>
      <c r="B7" s="260"/>
      <c r="C7" s="255"/>
      <c r="D7" s="255"/>
      <c r="E7" s="255">
        <f t="shared" si="0"/>
        <v>5</v>
      </c>
      <c r="F7" s="255">
        <f t="shared" si="0"/>
        <v>20</v>
      </c>
      <c r="G7" s="255">
        <f t="shared" si="0"/>
        <v>40</v>
      </c>
      <c r="H7" s="255">
        <f>20/A7</f>
        <v>32</v>
      </c>
    </row>
    <row r="8" spans="1:8" x14ac:dyDescent="0.25">
      <c r="A8" s="262">
        <v>1.25</v>
      </c>
      <c r="B8" s="260"/>
      <c r="C8" s="255"/>
      <c r="D8" s="255">
        <f t="shared" si="0"/>
        <v>5</v>
      </c>
      <c r="E8" s="255">
        <f t="shared" si="0"/>
        <v>10</v>
      </c>
      <c r="F8" s="255">
        <f t="shared" si="0"/>
        <v>40</v>
      </c>
      <c r="G8" s="255">
        <f t="shared" si="0"/>
        <v>80</v>
      </c>
      <c r="H8" s="255">
        <f t="shared" ref="H8:H14" si="1">20/A8</f>
        <v>16</v>
      </c>
    </row>
    <row r="9" spans="1:8" x14ac:dyDescent="0.25">
      <c r="A9" s="262">
        <v>2</v>
      </c>
      <c r="B9" s="260">
        <f t="shared" ref="B9:B14" si="2">$A9*2^B$5</f>
        <v>2</v>
      </c>
      <c r="C9" s="255">
        <f t="shared" si="0"/>
        <v>4</v>
      </c>
      <c r="D9" s="255">
        <f t="shared" si="0"/>
        <v>8</v>
      </c>
      <c r="E9" s="255">
        <f t="shared" si="0"/>
        <v>16</v>
      </c>
      <c r="F9" s="255">
        <f t="shared" si="0"/>
        <v>64</v>
      </c>
      <c r="G9" s="255">
        <f t="shared" si="0"/>
        <v>128</v>
      </c>
      <c r="H9" s="255">
        <f t="shared" si="1"/>
        <v>10</v>
      </c>
    </row>
    <row r="10" spans="1:8" x14ac:dyDescent="0.25">
      <c r="A10" s="262">
        <v>2.5</v>
      </c>
      <c r="B10" s="260"/>
      <c r="C10" s="255">
        <f t="shared" si="0"/>
        <v>5</v>
      </c>
      <c r="D10" s="255">
        <f t="shared" si="0"/>
        <v>10</v>
      </c>
      <c r="E10" s="255">
        <f t="shared" si="0"/>
        <v>20</v>
      </c>
      <c r="F10" s="255">
        <f t="shared" si="0"/>
        <v>80</v>
      </c>
      <c r="G10" s="255">
        <f t="shared" si="0"/>
        <v>160</v>
      </c>
      <c r="H10" s="255">
        <f t="shared" si="1"/>
        <v>8</v>
      </c>
    </row>
    <row r="11" spans="1:8" x14ac:dyDescent="0.25">
      <c r="A11" s="262">
        <v>3</v>
      </c>
      <c r="B11" s="260">
        <f t="shared" si="2"/>
        <v>3</v>
      </c>
      <c r="C11" s="255">
        <f t="shared" si="0"/>
        <v>6</v>
      </c>
      <c r="D11" s="255">
        <f t="shared" si="0"/>
        <v>12</v>
      </c>
      <c r="E11" s="255">
        <f t="shared" si="0"/>
        <v>24</v>
      </c>
      <c r="F11" s="255">
        <f t="shared" si="0"/>
        <v>96</v>
      </c>
      <c r="G11" s="255">
        <f t="shared" si="0"/>
        <v>192</v>
      </c>
      <c r="H11" s="256">
        <f t="shared" si="1"/>
        <v>6.666666666666667</v>
      </c>
    </row>
    <row r="12" spans="1:8" x14ac:dyDescent="0.25">
      <c r="A12" s="262">
        <v>4</v>
      </c>
      <c r="B12" s="260">
        <f t="shared" si="2"/>
        <v>4</v>
      </c>
      <c r="C12" s="255">
        <f t="shared" si="0"/>
        <v>8</v>
      </c>
      <c r="D12" s="255">
        <f t="shared" si="0"/>
        <v>16</v>
      </c>
      <c r="E12" s="255">
        <f t="shared" si="0"/>
        <v>32</v>
      </c>
      <c r="F12" s="255">
        <f t="shared" si="0"/>
        <v>128</v>
      </c>
      <c r="G12" s="255">
        <f t="shared" si="0"/>
        <v>256</v>
      </c>
      <c r="H12" s="255">
        <f t="shared" si="1"/>
        <v>5</v>
      </c>
    </row>
    <row r="13" spans="1:8" x14ac:dyDescent="0.25">
      <c r="A13" s="262">
        <v>5</v>
      </c>
      <c r="B13" s="260">
        <f t="shared" si="2"/>
        <v>5</v>
      </c>
      <c r="C13" s="255">
        <f t="shared" si="0"/>
        <v>10</v>
      </c>
      <c r="D13" s="255">
        <f t="shared" si="0"/>
        <v>20</v>
      </c>
      <c r="E13" s="255">
        <f t="shared" si="0"/>
        <v>40</v>
      </c>
      <c r="F13" s="255">
        <f t="shared" si="0"/>
        <v>160</v>
      </c>
      <c r="G13" s="255">
        <f t="shared" si="0"/>
        <v>320</v>
      </c>
      <c r="H13" s="255">
        <f t="shared" si="1"/>
        <v>4</v>
      </c>
    </row>
    <row r="14" spans="1:8" x14ac:dyDescent="0.25">
      <c r="A14" s="262">
        <v>10</v>
      </c>
      <c r="B14" s="260">
        <f t="shared" si="2"/>
        <v>10</v>
      </c>
      <c r="C14" s="255">
        <f t="shared" si="0"/>
        <v>20</v>
      </c>
      <c r="D14" s="255">
        <f t="shared" si="0"/>
        <v>40</v>
      </c>
      <c r="E14" s="255">
        <f t="shared" si="0"/>
        <v>80</v>
      </c>
      <c r="F14" s="255">
        <f t="shared" si="0"/>
        <v>320</v>
      </c>
      <c r="G14" s="255"/>
      <c r="H14" s="255">
        <f t="shared" si="1"/>
        <v>2</v>
      </c>
    </row>
  </sheetData>
  <mergeCells count="4">
    <mergeCell ref="B4:G4"/>
    <mergeCell ref="A4:A5"/>
    <mergeCell ref="B3:G3"/>
    <mergeCell ref="H4:H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B4A89-2878-4760-BB50-16F2596C2B0A}">
  <dimension ref="A1:G63"/>
  <sheetViews>
    <sheetView workbookViewId="0">
      <selection activeCell="G3" sqref="G3"/>
    </sheetView>
  </sheetViews>
  <sheetFormatPr baseColWidth="10" defaultRowHeight="15" x14ac:dyDescent="0.25"/>
  <cols>
    <col min="1" max="1" width="23" style="14" customWidth="1"/>
    <col min="2" max="4" width="11.42578125" style="14"/>
    <col min="5" max="5" width="13.85546875" style="14" customWidth="1"/>
    <col min="6" max="6" width="11.42578125" style="14"/>
    <col min="7" max="7" width="40" style="14" customWidth="1"/>
    <col min="8" max="16384" width="11.42578125" style="14"/>
  </cols>
  <sheetData>
    <row r="1" spans="1:7" ht="18.75" x14ac:dyDescent="0.25">
      <c r="A1" s="13" t="s">
        <v>591</v>
      </c>
    </row>
    <row r="2" spans="1:7" ht="15.75" thickBot="1" x14ac:dyDescent="0.3">
      <c r="A2" s="42"/>
      <c r="G2" s="758" t="s">
        <v>590</v>
      </c>
    </row>
    <row r="3" spans="1:7" ht="30.75" thickBot="1" x14ac:dyDescent="0.3">
      <c r="A3" s="42"/>
      <c r="B3" s="757" t="s">
        <v>589</v>
      </c>
      <c r="C3" s="756" t="s">
        <v>588</v>
      </c>
      <c r="D3" s="755" t="s">
        <v>587</v>
      </c>
    </row>
    <row r="4" spans="1:7" x14ac:dyDescent="0.25">
      <c r="A4" s="754" t="s">
        <v>586</v>
      </c>
      <c r="B4" s="953">
        <f>(14/10^-3)/15000</f>
        <v>0.93333333333333335</v>
      </c>
      <c r="C4" s="753">
        <f>B4*B22</f>
        <v>0.14176468682155471</v>
      </c>
      <c r="D4" s="752">
        <f>B51</f>
        <v>0.79365079365079361</v>
      </c>
    </row>
    <row r="5" spans="1:7" ht="15.75" thickBot="1" x14ac:dyDescent="0.3">
      <c r="A5" s="751" t="s">
        <v>585</v>
      </c>
      <c r="B5" s="954"/>
      <c r="C5" s="750">
        <f>B4*B37</f>
        <v>33.320517749583509</v>
      </c>
      <c r="D5" s="749">
        <f>B63</f>
        <v>0.95201827875095191</v>
      </c>
    </row>
    <row r="6" spans="1:7" ht="15.75" thickBot="1" x14ac:dyDescent="0.3">
      <c r="A6" s="42"/>
    </row>
    <row r="7" spans="1:7" ht="15.75" thickBot="1" x14ac:dyDescent="0.3">
      <c r="A7" s="956" t="s">
        <v>584</v>
      </c>
      <c r="B7" s="957"/>
      <c r="C7" s="957"/>
      <c r="D7" s="957"/>
      <c r="E7" s="957"/>
      <c r="F7" s="957"/>
      <c r="G7" s="958"/>
    </row>
    <row r="8" spans="1:7" x14ac:dyDescent="0.25">
      <c r="A8" s="52"/>
      <c r="B8" s="52"/>
      <c r="C8" s="52"/>
      <c r="D8" s="52"/>
      <c r="G8" s="52"/>
    </row>
    <row r="9" spans="1:7" x14ac:dyDescent="0.25">
      <c r="B9" s="959" t="s">
        <v>583</v>
      </c>
      <c r="C9" s="959"/>
      <c r="D9" s="959"/>
      <c r="E9" s="959"/>
      <c r="F9" s="959"/>
      <c r="G9" s="959"/>
    </row>
    <row r="10" spans="1:7" x14ac:dyDescent="0.25">
      <c r="B10" s="143" t="s">
        <v>578</v>
      </c>
      <c r="C10" s="847" t="s">
        <v>550</v>
      </c>
      <c r="D10" s="847"/>
      <c r="E10" s="960" t="s">
        <v>577</v>
      </c>
      <c r="F10" s="960" t="s">
        <v>466</v>
      </c>
      <c r="G10" s="847" t="s">
        <v>549</v>
      </c>
    </row>
    <row r="11" spans="1:7" x14ac:dyDescent="0.25">
      <c r="B11" s="730" t="s">
        <v>548</v>
      </c>
      <c r="C11" s="733" t="s">
        <v>548</v>
      </c>
      <c r="D11" s="730" t="s">
        <v>547</v>
      </c>
      <c r="E11" s="961"/>
      <c r="F11" s="961"/>
      <c r="G11" s="847"/>
    </row>
    <row r="12" spans="1:7" x14ac:dyDescent="0.25">
      <c r="A12" s="15" t="s">
        <v>576</v>
      </c>
      <c r="B12" s="728">
        <v>1000</v>
      </c>
      <c r="C12" s="718"/>
      <c r="D12" s="748"/>
      <c r="E12" s="723"/>
      <c r="F12" s="722"/>
      <c r="G12" s="747"/>
    </row>
    <row r="13" spans="1:7" x14ac:dyDescent="0.25">
      <c r="A13" s="15" t="s">
        <v>575</v>
      </c>
      <c r="B13" s="44">
        <f>IF(C13&lt;&gt;"",B12+C13,IF(D13&lt;&gt;"",B12*(1+D13),B12))</f>
        <v>1016</v>
      </c>
      <c r="C13" s="7">
        <f>IF(B12&lt;3824,16,24)</f>
        <v>16</v>
      </c>
      <c r="D13" s="726"/>
      <c r="E13" s="688"/>
      <c r="F13" s="688"/>
      <c r="G13" s="106" t="s">
        <v>574</v>
      </c>
    </row>
    <row r="14" spans="1:7" x14ac:dyDescent="0.25">
      <c r="A14" s="15" t="s">
        <v>573</v>
      </c>
      <c r="B14" s="44">
        <f>IF(C14&lt;&gt;"",B13+C14,IF(D14&lt;&gt;"",B13*(1+D14),B13))</f>
        <v>1016</v>
      </c>
      <c r="C14" s="7">
        <f>24*IF(F14=1,0,F14)</f>
        <v>0</v>
      </c>
      <c r="D14" s="726"/>
      <c r="E14" s="143" t="s">
        <v>572</v>
      </c>
      <c r="F14" s="126">
        <v>1</v>
      </c>
      <c r="G14" s="106" t="s">
        <v>582</v>
      </c>
    </row>
    <row r="15" spans="1:7" x14ac:dyDescent="0.25">
      <c r="A15" s="15" t="s">
        <v>570</v>
      </c>
      <c r="B15" s="44">
        <f>IF(C15&lt;&gt;"",B14+C15,IF(D15&lt;&gt;"",B14*(1+D15),B14))</f>
        <v>5080</v>
      </c>
      <c r="C15" s="126"/>
      <c r="D15" s="737">
        <f>1/F15-1</f>
        <v>4</v>
      </c>
      <c r="E15" s="143" t="s">
        <v>569</v>
      </c>
      <c r="F15" s="736">
        <f>1/5</f>
        <v>0.2</v>
      </c>
      <c r="G15" s="106" t="s">
        <v>581</v>
      </c>
    </row>
    <row r="16" spans="1:7" x14ac:dyDescent="0.25">
      <c r="A16" s="15" t="s">
        <v>567</v>
      </c>
      <c r="B16" s="44">
        <f>IF(C16&lt;&gt;"",B15+C16,IF(D16&lt;&gt;"",B15*(1+D16),B15))</f>
        <v>4064</v>
      </c>
      <c r="C16" s="126"/>
      <c r="D16" s="737">
        <f>(B14+F16*(B15-B14))/B15-1</f>
        <v>-0.19999999999999996</v>
      </c>
      <c r="E16" s="143" t="s">
        <v>566</v>
      </c>
      <c r="F16" s="736">
        <v>0.75</v>
      </c>
      <c r="G16" s="106" t="s">
        <v>565</v>
      </c>
    </row>
    <row r="17" spans="1:7" x14ac:dyDescent="0.25">
      <c r="A17" s="15" t="s">
        <v>564</v>
      </c>
      <c r="B17" s="44">
        <f>IF(C17&lt;&gt;"",B16+C17,IF(D17&lt;&gt;"",B16*(1+D17),B16))</f>
        <v>4389.12</v>
      </c>
      <c r="C17" s="126"/>
      <c r="D17" s="726">
        <v>0.08</v>
      </c>
      <c r="E17" s="745"/>
      <c r="F17" s="722"/>
      <c r="G17" s="106"/>
    </row>
    <row r="18" spans="1:7" ht="34.5" customHeight="1" x14ac:dyDescent="0.25">
      <c r="A18" s="744"/>
      <c r="B18" s="743" t="s">
        <v>563</v>
      </c>
      <c r="C18" s="740"/>
      <c r="D18" s="742"/>
      <c r="E18" s="741"/>
      <c r="F18" s="741"/>
      <c r="G18" s="740"/>
    </row>
    <row r="19" spans="1:7" x14ac:dyDescent="0.25">
      <c r="A19" s="15" t="s">
        <v>21</v>
      </c>
      <c r="B19" s="739">
        <f>IF(C19&lt;&gt;"",B17+C19,IF(D19&lt;&gt;"",B17*(1+D19),B17))</f>
        <v>4389.12</v>
      </c>
      <c r="C19" s="727"/>
      <c r="D19" s="737">
        <f>1/F19-1</f>
        <v>0</v>
      </c>
      <c r="E19" s="6" t="s">
        <v>562</v>
      </c>
      <c r="F19" s="126">
        <v>1</v>
      </c>
      <c r="G19" s="353" t="s">
        <v>561</v>
      </c>
    </row>
    <row r="20" spans="1:7" x14ac:dyDescent="0.25">
      <c r="A20" s="15" t="s">
        <v>560</v>
      </c>
      <c r="B20" s="44">
        <f>IF(C20&lt;&gt;"",B19+C20,IF(D20&lt;&gt;"",B19*(1+D20),B19))</f>
        <v>4389.12</v>
      </c>
      <c r="C20" s="727"/>
      <c r="D20" s="737">
        <f>1/F20-1</f>
        <v>0</v>
      </c>
      <c r="E20" s="15" t="s">
        <v>559</v>
      </c>
      <c r="F20" s="126">
        <v>1</v>
      </c>
      <c r="G20" s="353"/>
    </row>
    <row r="21" spans="1:7" ht="15.75" thickBot="1" x14ac:dyDescent="0.3">
      <c r="A21" s="738" t="s">
        <v>558</v>
      </c>
      <c r="B21" s="44">
        <f>IF(C21&lt;&gt;"",B20+C21,IF(D21&lt;&gt;"",B20*(1+D21),B20))</f>
        <v>6583.68</v>
      </c>
      <c r="C21" s="727"/>
      <c r="D21" s="737">
        <f>(1-F21)/F21</f>
        <v>0.50000000000000011</v>
      </c>
      <c r="E21" s="15" t="s">
        <v>557</v>
      </c>
      <c r="F21" s="736">
        <f>2/3</f>
        <v>0.66666666666666663</v>
      </c>
      <c r="G21" s="353" t="s">
        <v>580</v>
      </c>
    </row>
    <row r="22" spans="1:7" ht="15.75" thickBot="1" x14ac:dyDescent="0.3">
      <c r="A22" s="735" t="s">
        <v>555</v>
      </c>
      <c r="B22" s="734">
        <f>B12/B21</f>
        <v>0.15189073588023719</v>
      </c>
      <c r="C22" s="614"/>
      <c r="D22" s="67"/>
    </row>
    <row r="24" spans="1:7" x14ac:dyDescent="0.25">
      <c r="B24" s="959" t="s">
        <v>579</v>
      </c>
      <c r="C24" s="959"/>
      <c r="D24" s="959"/>
      <c r="E24" s="959"/>
      <c r="F24" s="959"/>
      <c r="G24" s="959"/>
    </row>
    <row r="25" spans="1:7" x14ac:dyDescent="0.25">
      <c r="B25" s="143" t="s">
        <v>578</v>
      </c>
      <c r="C25" s="847" t="s">
        <v>550</v>
      </c>
      <c r="D25" s="847"/>
      <c r="E25" s="960" t="s">
        <v>577</v>
      </c>
      <c r="F25" s="960" t="s">
        <v>466</v>
      </c>
      <c r="G25" s="847" t="s">
        <v>549</v>
      </c>
    </row>
    <row r="26" spans="1:7" x14ac:dyDescent="0.25">
      <c r="B26" s="730" t="s">
        <v>548</v>
      </c>
      <c r="C26" s="733" t="s">
        <v>548</v>
      </c>
      <c r="D26" s="730" t="s">
        <v>547</v>
      </c>
      <c r="E26" s="961"/>
      <c r="F26" s="961"/>
      <c r="G26" s="847"/>
    </row>
    <row r="27" spans="1:7" x14ac:dyDescent="0.25">
      <c r="A27" s="15" t="s">
        <v>576</v>
      </c>
      <c r="B27" s="728">
        <v>6000</v>
      </c>
      <c r="C27" s="718"/>
      <c r="D27" s="748"/>
      <c r="E27" s="723"/>
      <c r="F27" s="722"/>
      <c r="G27" s="747"/>
    </row>
    <row r="28" spans="1:7" x14ac:dyDescent="0.25">
      <c r="A28" s="15" t="s">
        <v>575</v>
      </c>
      <c r="B28" s="44">
        <f>IF(C28&lt;&gt;"",B27+C28,IF(D28&lt;&gt;"",B27*(1+D28),B27))</f>
        <v>6024</v>
      </c>
      <c r="C28" s="7">
        <f>IF(B27&lt;3824,16,24)</f>
        <v>24</v>
      </c>
      <c r="D28" s="726"/>
      <c r="E28" s="688"/>
      <c r="F28" s="688"/>
      <c r="G28" s="106" t="s">
        <v>574</v>
      </c>
    </row>
    <row r="29" spans="1:7" x14ac:dyDescent="0.25">
      <c r="A29" s="15" t="s">
        <v>573</v>
      </c>
      <c r="B29" s="44">
        <f>IF(C29&lt;&gt;"",B28+C29,IF(D29&lt;&gt;"",B28*(1+D29),B28))</f>
        <v>6120</v>
      </c>
      <c r="C29" s="7">
        <f>24*IF(F29=1,0,F29)</f>
        <v>96</v>
      </c>
      <c r="D29" s="726"/>
      <c r="E29" s="143" t="s">
        <v>572</v>
      </c>
      <c r="F29" s="126">
        <v>4</v>
      </c>
      <c r="G29" s="106" t="s">
        <v>571</v>
      </c>
    </row>
    <row r="30" spans="1:7" x14ac:dyDescent="0.25">
      <c r="A30" s="15" t="s">
        <v>570</v>
      </c>
      <c r="B30" s="44">
        <f>IF(C30&lt;&gt;"",B29+C30,IF(D30&lt;&gt;"",B29*(1+D30),B29))</f>
        <v>18360</v>
      </c>
      <c r="C30" s="126"/>
      <c r="D30" s="737">
        <f>1/F30-1</f>
        <v>2</v>
      </c>
      <c r="E30" s="143" t="s">
        <v>569</v>
      </c>
      <c r="F30" s="736">
        <f>1/3</f>
        <v>0.33333333333333331</v>
      </c>
      <c r="G30" s="106" t="s">
        <v>568</v>
      </c>
    </row>
    <row r="31" spans="1:7" x14ac:dyDescent="0.25">
      <c r="A31" s="15" t="s">
        <v>567</v>
      </c>
      <c r="B31" s="44">
        <f>IF(C31&lt;&gt;"",B30+C31,IF(D31&lt;&gt;"",B30*(1+D31),B30))</f>
        <v>12240</v>
      </c>
      <c r="C31" s="126"/>
      <c r="D31" s="737">
        <f>(B29+F31*(B30-B29))/B30-1</f>
        <v>-0.33333333333333337</v>
      </c>
      <c r="E31" s="143" t="s">
        <v>566</v>
      </c>
      <c r="F31" s="746">
        <v>0.5</v>
      </c>
      <c r="G31" s="106" t="s">
        <v>565</v>
      </c>
    </row>
    <row r="32" spans="1:7" x14ac:dyDescent="0.25">
      <c r="A32" s="15" t="s">
        <v>564</v>
      </c>
      <c r="B32" s="44">
        <f>IF(C32&lt;&gt;"",B31+C32,IF(D32&lt;&gt;"",B31*(1+D32),B31))</f>
        <v>12484.800000000001</v>
      </c>
      <c r="C32" s="126"/>
      <c r="D32" s="726">
        <v>0.02</v>
      </c>
      <c r="E32" s="745"/>
      <c r="F32" s="722"/>
      <c r="G32" s="106"/>
    </row>
    <row r="33" spans="1:7" ht="34.5" customHeight="1" x14ac:dyDescent="0.25">
      <c r="A33" s="744"/>
      <c r="B33" s="743" t="s">
        <v>563</v>
      </c>
      <c r="C33" s="740"/>
      <c r="D33" s="742"/>
      <c r="E33" s="741"/>
      <c r="F33" s="741"/>
      <c r="G33" s="740"/>
    </row>
    <row r="34" spans="1:7" x14ac:dyDescent="0.25">
      <c r="A34" s="15" t="s">
        <v>21</v>
      </c>
      <c r="B34" s="739">
        <f>IF(C34&lt;&gt;"",B32+C34,IF(D34&lt;&gt;"",B32*(1+D34),B32))</f>
        <v>1248.4799999999998</v>
      </c>
      <c r="C34" s="727"/>
      <c r="D34" s="737">
        <f>1/F34-1</f>
        <v>-0.9</v>
      </c>
      <c r="E34" s="6" t="s">
        <v>562</v>
      </c>
      <c r="F34" s="126">
        <v>10</v>
      </c>
      <c r="G34" s="353" t="s">
        <v>561</v>
      </c>
    </row>
    <row r="35" spans="1:7" x14ac:dyDescent="0.25">
      <c r="A35" s="15" t="s">
        <v>560</v>
      </c>
      <c r="B35" s="44">
        <f>IF(C35&lt;&gt;"",B34+C35,IF(D35&lt;&gt;"",B34*(1+D35),B34))</f>
        <v>156.05999999999997</v>
      </c>
      <c r="C35" s="727"/>
      <c r="D35" s="737">
        <f>1/F35-1</f>
        <v>-0.875</v>
      </c>
      <c r="E35" s="15" t="s">
        <v>559</v>
      </c>
      <c r="F35" s="126">
        <v>8</v>
      </c>
      <c r="G35" s="353"/>
    </row>
    <row r="36" spans="1:7" ht="15.75" thickBot="1" x14ac:dyDescent="0.3">
      <c r="A36" s="738" t="s">
        <v>558</v>
      </c>
      <c r="B36" s="44">
        <f>IF(C36&lt;&gt;"",B35+C36,IF(D36&lt;&gt;"",B35*(1+D36),B35))</f>
        <v>168.06461538461534</v>
      </c>
      <c r="C36" s="727"/>
      <c r="D36" s="737">
        <f>(1-F36)/F36</f>
        <v>7.6923076923076886E-2</v>
      </c>
      <c r="E36" s="15" t="s">
        <v>557</v>
      </c>
      <c r="F36" s="736">
        <f>13/14</f>
        <v>0.9285714285714286</v>
      </c>
      <c r="G36" s="353" t="s">
        <v>556</v>
      </c>
    </row>
    <row r="37" spans="1:7" ht="15.75" thickBot="1" x14ac:dyDescent="0.3">
      <c r="A37" s="735" t="s">
        <v>555</v>
      </c>
      <c r="B37" s="734">
        <f>B27/B36</f>
        <v>35.700554731696613</v>
      </c>
      <c r="C37" s="614"/>
      <c r="D37" s="67"/>
    </row>
    <row r="38" spans="1:7" ht="15.75" thickBot="1" x14ac:dyDescent="0.3"/>
    <row r="39" spans="1:7" ht="15.75" thickBot="1" x14ac:dyDescent="0.3">
      <c r="A39" s="965" t="s">
        <v>554</v>
      </c>
      <c r="B39" s="966"/>
      <c r="C39" s="966"/>
      <c r="D39" s="966"/>
      <c r="E39" s="966"/>
      <c r="F39" s="966"/>
      <c r="G39" s="967"/>
    </row>
    <row r="40" spans="1:7" x14ac:dyDescent="0.25">
      <c r="A40" s="42"/>
      <c r="B40" s="22"/>
      <c r="C40" s="614"/>
      <c r="D40" s="67"/>
    </row>
    <row r="41" spans="1:7" x14ac:dyDescent="0.25">
      <c r="B41" s="962" t="s">
        <v>553</v>
      </c>
      <c r="C41" s="963"/>
      <c r="D41" s="963"/>
      <c r="E41" s="963"/>
      <c r="F41" s="963"/>
      <c r="G41" s="964"/>
    </row>
    <row r="42" spans="1:7" x14ac:dyDescent="0.25">
      <c r="B42" s="143" t="s">
        <v>551</v>
      </c>
      <c r="C42" s="847" t="s">
        <v>550</v>
      </c>
      <c r="D42" s="847"/>
      <c r="E42" s="723"/>
      <c r="F42" s="722"/>
      <c r="G42" s="143" t="s">
        <v>549</v>
      </c>
    </row>
    <row r="43" spans="1:7" x14ac:dyDescent="0.25">
      <c r="B43" s="730" t="s">
        <v>548</v>
      </c>
      <c r="C43" s="733" t="s">
        <v>548</v>
      </c>
      <c r="D43" s="730" t="s">
        <v>547</v>
      </c>
      <c r="E43" s="723"/>
      <c r="F43" s="722"/>
      <c r="G43" s="730"/>
    </row>
    <row r="44" spans="1:7" x14ac:dyDescent="0.25">
      <c r="A44" s="15" t="s">
        <v>546</v>
      </c>
      <c r="B44" s="728">
        <f>8*200</f>
        <v>1600</v>
      </c>
      <c r="C44" s="725"/>
      <c r="D44" s="724"/>
      <c r="E44" s="723"/>
      <c r="F44" s="722"/>
      <c r="G44" s="345"/>
    </row>
    <row r="45" spans="1:7" x14ac:dyDescent="0.25">
      <c r="A45" s="15" t="s">
        <v>545</v>
      </c>
      <c r="B45" s="44">
        <f t="shared" ref="B45:B50" si="0">IF(C45&lt;&gt;"",B44+C45,IF(D45&lt;&gt;"",B44*(1+D45),B44))</f>
        <v>1760</v>
      </c>
      <c r="C45" s="126">
        <v>160</v>
      </c>
      <c r="D45" s="726"/>
      <c r="E45" s="723"/>
      <c r="F45" s="722"/>
      <c r="G45" s="106"/>
    </row>
    <row r="46" spans="1:7" x14ac:dyDescent="0.25">
      <c r="A46" s="15" t="s">
        <v>544</v>
      </c>
      <c r="B46" s="44">
        <f t="shared" si="0"/>
        <v>1920</v>
      </c>
      <c r="C46" s="126">
        <v>160</v>
      </c>
      <c r="D46" s="726"/>
      <c r="E46" s="723"/>
      <c r="F46" s="722"/>
      <c r="G46" s="106" t="s">
        <v>543</v>
      </c>
    </row>
    <row r="47" spans="1:7" x14ac:dyDescent="0.25">
      <c r="A47" s="15" t="s">
        <v>542</v>
      </c>
      <c r="B47" s="44">
        <f t="shared" si="0"/>
        <v>1920</v>
      </c>
      <c r="C47" s="725"/>
      <c r="D47" s="724"/>
      <c r="E47" s="723"/>
      <c r="F47" s="722"/>
      <c r="G47" s="106" t="s">
        <v>541</v>
      </c>
    </row>
    <row r="48" spans="1:7" x14ac:dyDescent="0.25">
      <c r="A48" s="15" t="s">
        <v>540</v>
      </c>
      <c r="B48" s="44">
        <f t="shared" si="0"/>
        <v>1920</v>
      </c>
      <c r="C48" s="725"/>
      <c r="D48" s="724"/>
      <c r="E48" s="723"/>
      <c r="F48" s="722"/>
      <c r="G48" s="106"/>
    </row>
    <row r="49" spans="1:7" x14ac:dyDescent="0.25">
      <c r="A49" s="15" t="s">
        <v>539</v>
      </c>
      <c r="B49" s="44">
        <f t="shared" si="0"/>
        <v>1920</v>
      </c>
      <c r="C49" s="725"/>
      <c r="D49" s="724"/>
      <c r="E49" s="723"/>
      <c r="F49" s="722"/>
      <c r="G49" s="106"/>
    </row>
    <row r="50" spans="1:7" ht="15.75" thickBot="1" x14ac:dyDescent="0.3">
      <c r="A50" s="72" t="s">
        <v>538</v>
      </c>
      <c r="B50" s="732">
        <f t="shared" si="0"/>
        <v>2016</v>
      </c>
      <c r="C50" s="126"/>
      <c r="D50" s="726">
        <v>0.05</v>
      </c>
      <c r="E50" s="723"/>
      <c r="F50" s="722"/>
      <c r="G50" s="106"/>
    </row>
    <row r="51" spans="1:7" ht="15.75" thickBot="1" x14ac:dyDescent="0.3">
      <c r="A51" s="720" t="s">
        <v>537</v>
      </c>
      <c r="B51" s="719">
        <f>B44/B50</f>
        <v>0.79365079365079361</v>
      </c>
      <c r="C51" s="67"/>
      <c r="D51" s="731"/>
    </row>
    <row r="53" spans="1:7" x14ac:dyDescent="0.25">
      <c r="B53" s="962" t="s">
        <v>552</v>
      </c>
      <c r="C53" s="963"/>
      <c r="D53" s="963"/>
      <c r="E53" s="963"/>
      <c r="F53" s="963"/>
      <c r="G53" s="964"/>
    </row>
    <row r="54" spans="1:7" x14ac:dyDescent="0.25">
      <c r="B54" s="31" t="s">
        <v>551</v>
      </c>
      <c r="C54" s="955" t="s">
        <v>550</v>
      </c>
      <c r="D54" s="847"/>
      <c r="E54" s="723"/>
      <c r="F54" s="722"/>
      <c r="G54" s="143" t="s">
        <v>549</v>
      </c>
    </row>
    <row r="55" spans="1:7" x14ac:dyDescent="0.25">
      <c r="B55" s="730" t="s">
        <v>548</v>
      </c>
      <c r="C55" s="729" t="s">
        <v>548</v>
      </c>
      <c r="D55" s="143" t="s">
        <v>547</v>
      </c>
      <c r="E55" s="723"/>
      <c r="F55" s="722"/>
      <c r="G55" s="143"/>
    </row>
    <row r="56" spans="1:7" x14ac:dyDescent="0.25">
      <c r="A56" s="15" t="s">
        <v>546</v>
      </c>
      <c r="B56" s="728">
        <f>8*1000</f>
        <v>8000</v>
      </c>
      <c r="C56" s="46"/>
      <c r="D56" s="46"/>
      <c r="E56" s="723"/>
      <c r="F56" s="722"/>
      <c r="G56" s="345"/>
    </row>
    <row r="57" spans="1:7" x14ac:dyDescent="0.25">
      <c r="A57" s="15" t="s">
        <v>545</v>
      </c>
      <c r="B57" s="44">
        <f t="shared" ref="B57:B62" si="1">IF(C57&lt;&gt;"",B56+C57,IF(D57&lt;&gt;"",B56*(1+D57),B56))</f>
        <v>8000</v>
      </c>
      <c r="C57" s="725"/>
      <c r="D57" s="724"/>
      <c r="E57" s="723"/>
      <c r="F57" s="722"/>
      <c r="G57" s="727"/>
    </row>
    <row r="58" spans="1:7" x14ac:dyDescent="0.25">
      <c r="A58" s="15" t="s">
        <v>544</v>
      </c>
      <c r="B58" s="44">
        <f t="shared" si="1"/>
        <v>8160</v>
      </c>
      <c r="C58" s="126">
        <v>160</v>
      </c>
      <c r="D58" s="726"/>
      <c r="E58" s="723"/>
      <c r="F58" s="722"/>
      <c r="G58" s="106" t="s">
        <v>543</v>
      </c>
    </row>
    <row r="59" spans="1:7" x14ac:dyDescent="0.25">
      <c r="A59" s="15" t="s">
        <v>542</v>
      </c>
      <c r="B59" s="44">
        <f t="shared" si="1"/>
        <v>8320</v>
      </c>
      <c r="C59" s="126">
        <v>160</v>
      </c>
      <c r="D59" s="726"/>
      <c r="E59" s="723"/>
      <c r="F59" s="722"/>
      <c r="G59" s="106" t="s">
        <v>541</v>
      </c>
    </row>
    <row r="60" spans="1:7" x14ac:dyDescent="0.25">
      <c r="A60" s="15" t="s">
        <v>540</v>
      </c>
      <c r="B60" s="44">
        <f t="shared" si="1"/>
        <v>8320</v>
      </c>
      <c r="C60" s="725"/>
      <c r="D60" s="724"/>
      <c r="E60" s="723"/>
      <c r="F60" s="722"/>
      <c r="G60" s="106"/>
    </row>
    <row r="61" spans="1:7" x14ac:dyDescent="0.25">
      <c r="A61" s="15" t="s">
        <v>539</v>
      </c>
      <c r="B61" s="44">
        <f t="shared" si="1"/>
        <v>8320</v>
      </c>
      <c r="C61" s="725"/>
      <c r="D61" s="724"/>
      <c r="E61" s="723"/>
      <c r="F61" s="722"/>
      <c r="G61" s="106"/>
    </row>
    <row r="62" spans="1:7" ht="15.75" thickBot="1" x14ac:dyDescent="0.3">
      <c r="A62" s="15" t="s">
        <v>538</v>
      </c>
      <c r="B62" s="44">
        <f t="shared" si="1"/>
        <v>8403.2000000000007</v>
      </c>
      <c r="C62" s="126"/>
      <c r="D62" s="721">
        <v>0.01</v>
      </c>
    </row>
    <row r="63" spans="1:7" ht="15.75" thickBot="1" x14ac:dyDescent="0.3">
      <c r="A63" s="720" t="s">
        <v>537</v>
      </c>
      <c r="B63" s="719">
        <f>B56/B62</f>
        <v>0.95201827875095191</v>
      </c>
    </row>
  </sheetData>
  <mergeCells count="17">
    <mergeCell ref="G25:G26"/>
    <mergeCell ref="B4:B5"/>
    <mergeCell ref="C42:D42"/>
    <mergeCell ref="C54:D54"/>
    <mergeCell ref="A7:G7"/>
    <mergeCell ref="B9:G9"/>
    <mergeCell ref="C10:D10"/>
    <mergeCell ref="G10:G11"/>
    <mergeCell ref="F10:F11"/>
    <mergeCell ref="B41:G41"/>
    <mergeCell ref="A39:G39"/>
    <mergeCell ref="B53:G53"/>
    <mergeCell ref="E10:E11"/>
    <mergeCell ref="B24:G24"/>
    <mergeCell ref="C25:D25"/>
    <mergeCell ref="E25:E26"/>
    <mergeCell ref="F25:F26"/>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AB084B-5337-4688-BDCE-204E67B0FBA3}">
  <dimension ref="A1:M327"/>
  <sheetViews>
    <sheetView topLeftCell="A310" workbookViewId="0"/>
  </sheetViews>
  <sheetFormatPr baseColWidth="10" defaultColWidth="11.42578125" defaultRowHeight="15" x14ac:dyDescent="0.25"/>
  <cols>
    <col min="1" max="1" width="10.5703125" style="12" customWidth="1"/>
    <col min="2" max="2" width="10.85546875" style="12" customWidth="1"/>
    <col min="3" max="3" width="11.7109375" style="12" customWidth="1"/>
    <col min="4" max="4" width="11.42578125" style="12"/>
    <col min="5" max="5" width="15" style="12" customWidth="1"/>
    <col min="6" max="6" width="11.42578125" style="12"/>
    <col min="7" max="7" width="11.85546875" style="12" customWidth="1"/>
    <col min="8" max="8" width="10.5703125" style="12" customWidth="1"/>
    <col min="9" max="16384" width="11.42578125" style="12"/>
  </cols>
  <sheetData>
    <row r="1" spans="1:10" ht="18.75" x14ac:dyDescent="0.25">
      <c r="A1" s="82" t="s">
        <v>317</v>
      </c>
    </row>
    <row r="3" spans="1:10" x14ac:dyDescent="0.25">
      <c r="A3" s="12" t="s">
        <v>318</v>
      </c>
    </row>
    <row r="4" spans="1:10" x14ac:dyDescent="0.25">
      <c r="A4" s="12" t="s">
        <v>325</v>
      </c>
    </row>
    <row r="5" spans="1:10" x14ac:dyDescent="0.25">
      <c r="A5" s="12" t="s">
        <v>319</v>
      </c>
    </row>
    <row r="7" spans="1:10" ht="45.75" customHeight="1" thickBot="1" x14ac:dyDescent="0.3">
      <c r="A7" s="268" t="s">
        <v>334</v>
      </c>
      <c r="B7" s="146" t="s">
        <v>324</v>
      </c>
      <c r="C7" s="103" t="s">
        <v>323</v>
      </c>
      <c r="D7" s="103" t="s">
        <v>331</v>
      </c>
      <c r="E7" s="103" t="s">
        <v>311</v>
      </c>
      <c r="G7" s="287"/>
      <c r="H7" s="287"/>
      <c r="I7" s="287"/>
      <c r="J7" s="287"/>
    </row>
    <row r="8" spans="1:10" ht="19.5" thickTop="1" x14ac:dyDescent="0.25">
      <c r="A8" s="269">
        <v>1</v>
      </c>
      <c r="B8" s="259" t="s">
        <v>312</v>
      </c>
      <c r="C8" s="257">
        <v>1</v>
      </c>
      <c r="D8" s="257" t="s">
        <v>313</v>
      </c>
      <c r="E8" s="300" t="s">
        <v>327</v>
      </c>
      <c r="G8" s="287"/>
      <c r="H8" s="253"/>
      <c r="I8" s="253"/>
      <c r="J8" s="253"/>
    </row>
    <row r="9" spans="1:10" x14ac:dyDescent="0.25">
      <c r="A9" s="270" t="s">
        <v>173</v>
      </c>
      <c r="B9" s="260" t="s">
        <v>173</v>
      </c>
      <c r="C9" s="255" t="s">
        <v>173</v>
      </c>
      <c r="D9" s="255" t="s">
        <v>173</v>
      </c>
      <c r="E9" s="257" t="s">
        <v>173</v>
      </c>
      <c r="G9" s="287"/>
      <c r="H9" s="253"/>
      <c r="I9" s="253"/>
      <c r="J9" s="253"/>
    </row>
    <row r="10" spans="1:10" ht="33" customHeight="1" x14ac:dyDescent="0.25">
      <c r="A10" s="271" t="s">
        <v>123</v>
      </c>
      <c r="B10" s="260" t="s">
        <v>332</v>
      </c>
      <c r="C10" s="255" t="s">
        <v>333</v>
      </c>
      <c r="D10" s="255" t="s">
        <v>336</v>
      </c>
      <c r="E10" s="255" t="s">
        <v>335</v>
      </c>
      <c r="G10" s="287"/>
      <c r="H10" s="253"/>
      <c r="I10" s="253"/>
      <c r="J10" s="253"/>
    </row>
    <row r="11" spans="1:10" x14ac:dyDescent="0.25">
      <c r="A11" s="270" t="s">
        <v>173</v>
      </c>
      <c r="B11" s="260" t="s">
        <v>173</v>
      </c>
      <c r="C11" s="255" t="s">
        <v>173</v>
      </c>
      <c r="D11" s="255" t="s">
        <v>173</v>
      </c>
      <c r="E11" s="257" t="s">
        <v>173</v>
      </c>
      <c r="G11" s="287"/>
      <c r="H11" s="253"/>
      <c r="I11" s="253"/>
      <c r="J11" s="253"/>
    </row>
    <row r="12" spans="1:10" ht="30.75" customHeight="1" thickBot="1" x14ac:dyDescent="0.3">
      <c r="A12" s="268" t="s">
        <v>115</v>
      </c>
      <c r="B12" s="285" t="s">
        <v>314</v>
      </c>
      <c r="C12" s="284" t="s">
        <v>315</v>
      </c>
      <c r="D12" s="284" t="s">
        <v>322</v>
      </c>
      <c r="E12" s="284" t="s">
        <v>316</v>
      </c>
      <c r="G12" s="287"/>
      <c r="H12" s="253"/>
      <c r="I12" s="253"/>
      <c r="J12" s="253"/>
    </row>
    <row r="13" spans="1:10" ht="30.75" customHeight="1" thickTop="1" x14ac:dyDescent="0.25">
      <c r="A13" s="269" t="s">
        <v>326</v>
      </c>
      <c r="B13" s="282"/>
      <c r="C13" s="283"/>
      <c r="D13" s="290">
        <v>1</v>
      </c>
      <c r="E13" s="290"/>
      <c r="G13" s="287"/>
      <c r="H13" s="253"/>
      <c r="I13" s="288"/>
      <c r="J13" s="289"/>
    </row>
    <row r="15" spans="1:10" ht="45.75" thickBot="1" x14ac:dyDescent="0.3">
      <c r="A15" s="268" t="s">
        <v>334</v>
      </c>
      <c r="B15" s="146" t="s">
        <v>324</v>
      </c>
      <c r="C15" s="103" t="s">
        <v>323</v>
      </c>
      <c r="D15" s="103" t="s">
        <v>331</v>
      </c>
      <c r="E15" s="252" t="s">
        <v>328</v>
      </c>
      <c r="G15" s="103" t="s">
        <v>334</v>
      </c>
      <c r="H15" s="150" t="s">
        <v>311</v>
      </c>
      <c r="I15" s="103" t="s">
        <v>337</v>
      </c>
      <c r="J15" s="103" t="s">
        <v>330</v>
      </c>
    </row>
    <row r="16" spans="1:10" ht="15.75" thickTop="1" x14ac:dyDescent="0.25">
      <c r="A16" s="280">
        <f>A17+1</f>
        <v>2</v>
      </c>
      <c r="B16" s="3" t="str">
        <f>(A16-1) &amp; " to " &amp;A16</f>
        <v>1 to 2</v>
      </c>
      <c r="C16" s="3">
        <f>2*A16-1</f>
        <v>3</v>
      </c>
      <c r="D16" s="274">
        <f>(2*A16-1)/E16</f>
        <v>0.75</v>
      </c>
      <c r="E16" s="3">
        <f>E17</f>
        <v>4</v>
      </c>
      <c r="G16" s="306">
        <f>G17+1</f>
        <v>2</v>
      </c>
      <c r="H16" s="305">
        <f>LOG(1+E16/A16^2,2)</f>
        <v>1</v>
      </c>
      <c r="I16" s="274">
        <f>D16</f>
        <v>0.75</v>
      </c>
      <c r="J16" s="275">
        <f>I16*$H16</f>
        <v>0.75</v>
      </c>
    </row>
    <row r="17" spans="1:13" ht="15.75" thickBot="1" x14ac:dyDescent="0.3">
      <c r="A17" s="295">
        <v>1</v>
      </c>
      <c r="B17" s="296" t="str">
        <f>(A17-1) &amp; " to " &amp;A17</f>
        <v>0 to 1</v>
      </c>
      <c r="C17" s="296">
        <f>2*A17-1</f>
        <v>1</v>
      </c>
      <c r="D17" s="297">
        <f>(2*A17-1)/E17</f>
        <v>0.25</v>
      </c>
      <c r="E17" s="3">
        <f>E18</f>
        <v>4</v>
      </c>
      <c r="G17" s="301">
        <f>A17</f>
        <v>1</v>
      </c>
      <c r="H17" s="308">
        <f>LOG(1+E17/A17^2,2)</f>
        <v>2.3219280948873622</v>
      </c>
      <c r="I17" s="297">
        <f t="shared" ref="I17" si="0">D17</f>
        <v>0.25</v>
      </c>
      <c r="J17" s="299">
        <f>I17*$H17</f>
        <v>0.58048202372184055</v>
      </c>
    </row>
    <row r="18" spans="1:13" ht="15.75" thickTop="1" x14ac:dyDescent="0.25">
      <c r="A18" s="291" t="s">
        <v>326</v>
      </c>
      <c r="B18" s="292"/>
      <c r="C18" s="293"/>
      <c r="D18" s="294">
        <f>SUM(D16:D17)</f>
        <v>1</v>
      </c>
      <c r="E18" s="278">
        <f>A16^2</f>
        <v>4</v>
      </c>
      <c r="H18" s="291" t="s">
        <v>326</v>
      </c>
      <c r="I18" s="276">
        <f>SUM(I16:I17)</f>
        <v>1</v>
      </c>
      <c r="J18" s="277">
        <f>SUM(J16:J17)</f>
        <v>1.3304820237218404</v>
      </c>
    </row>
    <row r="19" spans="1:13" x14ac:dyDescent="0.25">
      <c r="E19" s="279"/>
    </row>
    <row r="20" spans="1:13" ht="45.75" thickBot="1" x14ac:dyDescent="0.3">
      <c r="A20" s="268" t="s">
        <v>334</v>
      </c>
      <c r="B20" s="146" t="s">
        <v>324</v>
      </c>
      <c r="C20" s="103" t="s">
        <v>323</v>
      </c>
      <c r="D20" s="103" t="s">
        <v>331</v>
      </c>
      <c r="E20" s="252" t="s">
        <v>328</v>
      </c>
      <c r="G20" s="103" t="s">
        <v>334</v>
      </c>
      <c r="H20" s="150" t="s">
        <v>311</v>
      </c>
      <c r="I20" s="103" t="s">
        <v>337</v>
      </c>
      <c r="J20" s="103" t="s">
        <v>330</v>
      </c>
      <c r="K20" s="103" t="s">
        <v>338</v>
      </c>
      <c r="L20" s="103" t="s">
        <v>339</v>
      </c>
      <c r="M20" s="103" t="s">
        <v>330</v>
      </c>
    </row>
    <row r="21" spans="1:13" ht="15.75" thickTop="1" x14ac:dyDescent="0.25">
      <c r="A21" s="280">
        <f t="shared" ref="A21:A24" si="1">A22+1</f>
        <v>10</v>
      </c>
      <c r="B21" s="3" t="str">
        <f t="shared" ref="B21:B30" si="2">(A21-1) &amp; " to " &amp;A21</f>
        <v>9 to 10</v>
      </c>
      <c r="C21" s="3">
        <f t="shared" ref="C21:C30" si="3">2*A21-1</f>
        <v>19</v>
      </c>
      <c r="D21" s="274">
        <f t="shared" ref="D21:D30" si="4">(2*A21-1)/E21</f>
        <v>0.19</v>
      </c>
      <c r="E21" s="3">
        <f t="shared" ref="E21:E24" si="5">E22</f>
        <v>100</v>
      </c>
      <c r="G21" s="306">
        <f t="shared" ref="G21:G29" si="6">A21</f>
        <v>10</v>
      </c>
      <c r="H21" s="305">
        <f t="shared" ref="H21:H30" si="7">LOG(1+E21/A21^2,2)</f>
        <v>1</v>
      </c>
      <c r="I21" s="274">
        <f>D21</f>
        <v>0.19</v>
      </c>
      <c r="J21" s="275">
        <f>I21*$H21</f>
        <v>0.19</v>
      </c>
      <c r="K21" s="315">
        <v>0.5</v>
      </c>
      <c r="L21" s="315">
        <f>K21*I21</f>
        <v>9.5000000000000001E-2</v>
      </c>
      <c r="M21" s="275">
        <f>L21*H21</f>
        <v>9.5000000000000001E-2</v>
      </c>
    </row>
    <row r="22" spans="1:13" x14ac:dyDescent="0.25">
      <c r="A22" s="281">
        <f t="shared" si="1"/>
        <v>9</v>
      </c>
      <c r="B22" s="3" t="str">
        <f t="shared" si="2"/>
        <v>8 to 9</v>
      </c>
      <c r="C22" s="3">
        <f t="shared" si="3"/>
        <v>17</v>
      </c>
      <c r="D22" s="274">
        <f t="shared" si="4"/>
        <v>0.17</v>
      </c>
      <c r="E22" s="3">
        <f t="shared" si="5"/>
        <v>100</v>
      </c>
      <c r="G22" s="267">
        <f t="shared" si="6"/>
        <v>9</v>
      </c>
      <c r="H22" s="307">
        <f t="shared" si="7"/>
        <v>1.1599958841985807</v>
      </c>
      <c r="I22" s="274">
        <f t="shared" ref="I22:I30" si="8">D22</f>
        <v>0.17</v>
      </c>
      <c r="J22" s="275">
        <f t="shared" ref="J22:J30" si="9">I22*$H22</f>
        <v>0.19719930031375874</v>
      </c>
      <c r="K22" s="315">
        <v>0.6</v>
      </c>
      <c r="L22" s="315">
        <f t="shared" ref="L22:L30" si="10">K22*I22</f>
        <v>0.10200000000000001</v>
      </c>
      <c r="M22" s="275">
        <f t="shared" ref="M22:M30" si="11">L22*H22</f>
        <v>0.11831958018825524</v>
      </c>
    </row>
    <row r="23" spans="1:13" x14ac:dyDescent="0.25">
      <c r="A23" s="281">
        <f t="shared" si="1"/>
        <v>8</v>
      </c>
      <c r="B23" s="3" t="str">
        <f t="shared" si="2"/>
        <v>7 to 8</v>
      </c>
      <c r="C23" s="3">
        <f t="shared" si="3"/>
        <v>15</v>
      </c>
      <c r="D23" s="274">
        <f t="shared" si="4"/>
        <v>0.15</v>
      </c>
      <c r="E23" s="3">
        <f t="shared" si="5"/>
        <v>100</v>
      </c>
      <c r="G23" s="267">
        <f t="shared" si="6"/>
        <v>8</v>
      </c>
      <c r="H23" s="307">
        <f t="shared" si="7"/>
        <v>1.3575520046180838</v>
      </c>
      <c r="I23" s="274">
        <f t="shared" si="8"/>
        <v>0.15</v>
      </c>
      <c r="J23" s="275">
        <f t="shared" si="9"/>
        <v>0.20363280069271256</v>
      </c>
      <c r="K23" s="315">
        <v>0.7</v>
      </c>
      <c r="L23" s="315">
        <f t="shared" si="10"/>
        <v>0.105</v>
      </c>
      <c r="M23" s="275">
        <f t="shared" si="11"/>
        <v>0.14254296048489878</v>
      </c>
    </row>
    <row r="24" spans="1:13" x14ac:dyDescent="0.25">
      <c r="A24" s="281">
        <f t="shared" si="1"/>
        <v>7</v>
      </c>
      <c r="B24" s="3" t="str">
        <f t="shared" si="2"/>
        <v>6 to 7</v>
      </c>
      <c r="C24" s="3">
        <f t="shared" si="3"/>
        <v>13</v>
      </c>
      <c r="D24" s="274">
        <f t="shared" si="4"/>
        <v>0.13</v>
      </c>
      <c r="E24" s="3">
        <f t="shared" si="5"/>
        <v>100</v>
      </c>
      <c r="G24" s="267">
        <f t="shared" si="6"/>
        <v>7</v>
      </c>
      <c r="H24" s="307">
        <f t="shared" si="7"/>
        <v>1.6044586763469533</v>
      </c>
      <c r="I24" s="274">
        <f t="shared" si="8"/>
        <v>0.13</v>
      </c>
      <c r="J24" s="275">
        <f t="shared" si="9"/>
        <v>0.20857962792510393</v>
      </c>
      <c r="K24" s="315">
        <v>0.8</v>
      </c>
      <c r="L24" s="315">
        <f t="shared" si="10"/>
        <v>0.10400000000000001</v>
      </c>
      <c r="M24" s="275">
        <f t="shared" si="11"/>
        <v>0.16686370234008316</v>
      </c>
    </row>
    <row r="25" spans="1:13" x14ac:dyDescent="0.25">
      <c r="A25" s="281">
        <f t="shared" ref="A25:A29" si="12">A26+1</f>
        <v>6</v>
      </c>
      <c r="B25" s="3" t="str">
        <f t="shared" si="2"/>
        <v>5 to 6</v>
      </c>
      <c r="C25" s="3">
        <f t="shared" si="3"/>
        <v>11</v>
      </c>
      <c r="D25" s="274">
        <f t="shared" si="4"/>
        <v>0.11</v>
      </c>
      <c r="E25" s="3">
        <f t="shared" ref="E25:E29" si="13">E26</f>
        <v>100</v>
      </c>
      <c r="G25" s="267">
        <f t="shared" si="6"/>
        <v>6</v>
      </c>
      <c r="H25" s="307">
        <f t="shared" si="7"/>
        <v>1.9175378398080272</v>
      </c>
      <c r="I25" s="274">
        <f t="shared" si="8"/>
        <v>0.11</v>
      </c>
      <c r="J25" s="275">
        <f t="shared" si="9"/>
        <v>0.21092916237888298</v>
      </c>
      <c r="K25" s="315">
        <v>1</v>
      </c>
      <c r="L25" s="315">
        <f t="shared" si="10"/>
        <v>0.11</v>
      </c>
      <c r="M25" s="275">
        <f t="shared" si="11"/>
        <v>0.21092916237888298</v>
      </c>
    </row>
    <row r="26" spans="1:13" x14ac:dyDescent="0.25">
      <c r="A26" s="281">
        <f t="shared" si="12"/>
        <v>5</v>
      </c>
      <c r="B26" s="3" t="str">
        <f t="shared" si="2"/>
        <v>4 to 5</v>
      </c>
      <c r="C26" s="3">
        <f t="shared" si="3"/>
        <v>9</v>
      </c>
      <c r="D26" s="274">
        <f t="shared" si="4"/>
        <v>0.09</v>
      </c>
      <c r="E26" s="3">
        <f t="shared" si="13"/>
        <v>100</v>
      </c>
      <c r="G26" s="267">
        <f t="shared" si="6"/>
        <v>5</v>
      </c>
      <c r="H26" s="307">
        <f t="shared" si="7"/>
        <v>2.3219280948873622</v>
      </c>
      <c r="I26" s="274">
        <f t="shared" si="8"/>
        <v>0.09</v>
      </c>
      <c r="J26" s="275">
        <f t="shared" si="9"/>
        <v>0.20897352853986259</v>
      </c>
      <c r="K26" s="315">
        <v>1.4</v>
      </c>
      <c r="L26" s="315">
        <f t="shared" si="10"/>
        <v>0.126</v>
      </c>
      <c r="M26" s="275">
        <f t="shared" si="11"/>
        <v>0.29256293995580762</v>
      </c>
    </row>
    <row r="27" spans="1:13" x14ac:dyDescent="0.25">
      <c r="A27" s="281">
        <f t="shared" si="12"/>
        <v>4</v>
      </c>
      <c r="B27" s="3" t="str">
        <f t="shared" si="2"/>
        <v>3 to 4</v>
      </c>
      <c r="C27" s="3">
        <f t="shared" si="3"/>
        <v>7</v>
      </c>
      <c r="D27" s="274">
        <f t="shared" si="4"/>
        <v>7.0000000000000007E-2</v>
      </c>
      <c r="E27" s="3">
        <f t="shared" si="13"/>
        <v>100</v>
      </c>
      <c r="G27" s="267">
        <f t="shared" si="6"/>
        <v>4</v>
      </c>
      <c r="H27" s="307">
        <f t="shared" si="7"/>
        <v>2.8579809951275723</v>
      </c>
      <c r="I27" s="274">
        <f t="shared" si="8"/>
        <v>7.0000000000000007E-2</v>
      </c>
      <c r="J27" s="275">
        <f t="shared" si="9"/>
        <v>0.20005866965893007</v>
      </c>
      <c r="K27" s="315">
        <v>1.8</v>
      </c>
      <c r="L27" s="315">
        <f t="shared" si="10"/>
        <v>0.12600000000000003</v>
      </c>
      <c r="M27" s="275">
        <f t="shared" si="11"/>
        <v>0.36010560538607417</v>
      </c>
    </row>
    <row r="28" spans="1:13" x14ac:dyDescent="0.25">
      <c r="A28" s="281">
        <f t="shared" si="12"/>
        <v>3</v>
      </c>
      <c r="B28" s="3" t="str">
        <f t="shared" si="2"/>
        <v>2 to 3</v>
      </c>
      <c r="C28" s="3">
        <f t="shared" si="3"/>
        <v>5</v>
      </c>
      <c r="D28" s="274">
        <f t="shared" si="4"/>
        <v>0.05</v>
      </c>
      <c r="E28" s="3">
        <f t="shared" si="13"/>
        <v>100</v>
      </c>
      <c r="G28" s="267">
        <f t="shared" si="6"/>
        <v>3</v>
      </c>
      <c r="H28" s="307">
        <f t="shared" si="7"/>
        <v>3.5982593233346143</v>
      </c>
      <c r="I28" s="274">
        <f t="shared" si="8"/>
        <v>0.05</v>
      </c>
      <c r="J28" s="275">
        <f t="shared" si="9"/>
        <v>0.17991296616673072</v>
      </c>
      <c r="K28" s="315">
        <v>2.4</v>
      </c>
      <c r="L28" s="315">
        <f t="shared" si="10"/>
        <v>0.12</v>
      </c>
      <c r="M28" s="275">
        <f t="shared" si="11"/>
        <v>0.43179111880015369</v>
      </c>
    </row>
    <row r="29" spans="1:13" x14ac:dyDescent="0.25">
      <c r="A29" s="281">
        <f t="shared" si="12"/>
        <v>2</v>
      </c>
      <c r="B29" s="3" t="str">
        <f t="shared" si="2"/>
        <v>1 to 2</v>
      </c>
      <c r="C29" s="3">
        <f t="shared" si="3"/>
        <v>3</v>
      </c>
      <c r="D29" s="274">
        <f t="shared" si="4"/>
        <v>0.03</v>
      </c>
      <c r="E29" s="3">
        <f t="shared" si="13"/>
        <v>100</v>
      </c>
      <c r="G29" s="267">
        <f t="shared" si="6"/>
        <v>2</v>
      </c>
      <c r="H29" s="307">
        <f t="shared" si="7"/>
        <v>4.7004397181410926</v>
      </c>
      <c r="I29" s="274">
        <f t="shared" si="8"/>
        <v>0.03</v>
      </c>
      <c r="J29" s="275">
        <f t="shared" si="9"/>
        <v>0.14101319154423278</v>
      </c>
      <c r="K29" s="315">
        <v>2.8</v>
      </c>
      <c r="L29" s="315">
        <f t="shared" si="10"/>
        <v>8.3999999999999991E-2</v>
      </c>
      <c r="M29" s="275">
        <f t="shared" si="11"/>
        <v>0.39483693632385175</v>
      </c>
    </row>
    <row r="30" spans="1:13" ht="15.75" thickBot="1" x14ac:dyDescent="0.3">
      <c r="A30" s="295">
        <v>1</v>
      </c>
      <c r="B30" s="296" t="str">
        <f t="shared" si="2"/>
        <v>0 to 1</v>
      </c>
      <c r="C30" s="296">
        <f t="shared" si="3"/>
        <v>1</v>
      </c>
      <c r="D30" s="297">
        <f t="shared" si="4"/>
        <v>0.01</v>
      </c>
      <c r="E30" s="3">
        <f>E31</f>
        <v>100</v>
      </c>
      <c r="G30" s="301">
        <f>A30</f>
        <v>1</v>
      </c>
      <c r="H30" s="308">
        <f t="shared" si="7"/>
        <v>6.6582114827517955</v>
      </c>
      <c r="I30" s="297">
        <f t="shared" si="8"/>
        <v>0.01</v>
      </c>
      <c r="J30" s="299">
        <f t="shared" si="9"/>
        <v>6.6582114827517955E-2</v>
      </c>
      <c r="K30" s="316">
        <v>2.8</v>
      </c>
      <c r="L30" s="316">
        <f t="shared" si="10"/>
        <v>2.7999999999999997E-2</v>
      </c>
      <c r="M30" s="299">
        <f t="shared" si="11"/>
        <v>0.18642992151705026</v>
      </c>
    </row>
    <row r="31" spans="1:13" ht="15.75" thickTop="1" x14ac:dyDescent="0.25">
      <c r="A31" s="291" t="s">
        <v>326</v>
      </c>
      <c r="B31" s="292"/>
      <c r="C31" s="293"/>
      <c r="D31" s="294">
        <f>SUM(D21:D30)</f>
        <v>1</v>
      </c>
      <c r="E31" s="278">
        <f>A21^2</f>
        <v>100</v>
      </c>
      <c r="H31" s="291" t="s">
        <v>326</v>
      </c>
      <c r="I31" s="294">
        <f t="shared" ref="I31:M31" si="14">SUM(I21:I30)</f>
        <v>1</v>
      </c>
      <c r="J31" s="298">
        <f t="shared" si="14"/>
        <v>1.8068813620477322</v>
      </c>
      <c r="K31" s="294"/>
      <c r="L31" s="294">
        <f t="shared" si="14"/>
        <v>1</v>
      </c>
      <c r="M31" s="298">
        <f t="shared" si="14"/>
        <v>2.3993819273750581</v>
      </c>
    </row>
    <row r="33" spans="1:13" ht="45.75" thickBot="1" x14ac:dyDescent="0.3">
      <c r="A33" s="268" t="s">
        <v>334</v>
      </c>
      <c r="B33" s="304" t="s">
        <v>320</v>
      </c>
      <c r="C33" s="103" t="s">
        <v>321</v>
      </c>
      <c r="D33" s="103" t="s">
        <v>310</v>
      </c>
      <c r="E33" s="103" t="s">
        <v>328</v>
      </c>
      <c r="G33" s="103" t="s">
        <v>334</v>
      </c>
      <c r="H33" s="150" t="s">
        <v>311</v>
      </c>
      <c r="I33" s="103" t="s">
        <v>337</v>
      </c>
      <c r="J33" s="103" t="s">
        <v>330</v>
      </c>
      <c r="K33" s="103" t="s">
        <v>338</v>
      </c>
      <c r="L33" s="103" t="s">
        <v>339</v>
      </c>
      <c r="M33" s="103" t="s">
        <v>330</v>
      </c>
    </row>
    <row r="34" spans="1:13" ht="15.75" thickTop="1" x14ac:dyDescent="0.25">
      <c r="A34" s="280">
        <f t="shared" ref="A34:A64" si="15">A35+1</f>
        <v>32</v>
      </c>
      <c r="B34" s="302" t="str">
        <f t="shared" ref="B34:B65" si="16">(A34-1) &amp; " to " &amp;A34</f>
        <v>31 to 32</v>
      </c>
      <c r="C34" s="302">
        <f t="shared" ref="C34:C65" si="17">2*A34-1</f>
        <v>63</v>
      </c>
      <c r="D34" s="303">
        <f t="shared" ref="D34:D65" si="18">(2*A34-1)/E34</f>
        <v>6.15234375E-2</v>
      </c>
      <c r="E34" s="302">
        <f t="shared" ref="E34:E64" si="19">E35</f>
        <v>1024</v>
      </c>
      <c r="G34" s="306">
        <f>A34</f>
        <v>32</v>
      </c>
      <c r="H34" s="309">
        <f t="shared" ref="H34:H65" si="20">LOG(1+E34/A34^2,2)</f>
        <v>1</v>
      </c>
      <c r="I34" s="274">
        <f>D34</f>
        <v>6.15234375E-2</v>
      </c>
      <c r="J34" s="275">
        <f t="shared" ref="J34:J65" si="21">I34*$H34</f>
        <v>6.15234375E-2</v>
      </c>
      <c r="K34" s="315">
        <v>0.5</v>
      </c>
      <c r="L34" s="315">
        <f>K34*I34</f>
        <v>3.076171875E-2</v>
      </c>
      <c r="M34" s="275">
        <f>L34*H34</f>
        <v>3.076171875E-2</v>
      </c>
    </row>
    <row r="35" spans="1:13" x14ac:dyDescent="0.25">
      <c r="A35" s="281">
        <f t="shared" si="15"/>
        <v>31</v>
      </c>
      <c r="B35" s="3" t="str">
        <f t="shared" si="16"/>
        <v>30 to 31</v>
      </c>
      <c r="C35" s="3">
        <f t="shared" si="17"/>
        <v>61</v>
      </c>
      <c r="D35" s="274">
        <f t="shared" si="18"/>
        <v>5.95703125E-2</v>
      </c>
      <c r="E35" s="3">
        <f t="shared" si="19"/>
        <v>1024</v>
      </c>
      <c r="G35" s="267">
        <f t="shared" ref="G35:G64" si="22">A35</f>
        <v>31</v>
      </c>
      <c r="H35" s="310">
        <f t="shared" si="20"/>
        <v>1.0465306712565698</v>
      </c>
      <c r="I35" s="274">
        <f t="shared" ref="I35:I65" si="23">D35</f>
        <v>5.95703125E-2</v>
      </c>
      <c r="J35" s="275">
        <f t="shared" si="21"/>
        <v>6.2342159127588635E-2</v>
      </c>
      <c r="K35" s="315">
        <v>0.52</v>
      </c>
      <c r="L35" s="315">
        <f t="shared" ref="L35:L36" si="24">K35*I35</f>
        <v>3.0976562500000002E-2</v>
      </c>
      <c r="M35" s="275">
        <f t="shared" ref="M35:M36" si="25">L35*H35</f>
        <v>3.2417922746346091E-2</v>
      </c>
    </row>
    <row r="36" spans="1:13" x14ac:dyDescent="0.25">
      <c r="A36" s="281">
        <f t="shared" si="15"/>
        <v>30</v>
      </c>
      <c r="B36" s="3" t="str">
        <f t="shared" si="16"/>
        <v>29 to 30</v>
      </c>
      <c r="C36" s="3">
        <f t="shared" si="17"/>
        <v>59</v>
      </c>
      <c r="D36" s="274">
        <f t="shared" si="18"/>
        <v>5.76171875E-2</v>
      </c>
      <c r="E36" s="3">
        <f t="shared" si="19"/>
        <v>1024</v>
      </c>
      <c r="G36" s="267">
        <f t="shared" si="22"/>
        <v>30</v>
      </c>
      <c r="H36" s="310">
        <f t="shared" si="20"/>
        <v>1.0961118925530051</v>
      </c>
      <c r="I36" s="274">
        <f t="shared" si="23"/>
        <v>5.76171875E-2</v>
      </c>
      <c r="J36" s="275">
        <f t="shared" si="21"/>
        <v>6.3154884434206346E-2</v>
      </c>
      <c r="K36" s="315">
        <v>0.54</v>
      </c>
      <c r="L36" s="315">
        <f t="shared" si="24"/>
        <v>3.1113281250000003E-2</v>
      </c>
      <c r="M36" s="275">
        <f t="shared" si="25"/>
        <v>3.410363759447143E-2</v>
      </c>
    </row>
    <row r="37" spans="1:13" x14ac:dyDescent="0.25">
      <c r="A37" s="281">
        <f t="shared" si="15"/>
        <v>29</v>
      </c>
      <c r="B37" s="3" t="str">
        <f t="shared" si="16"/>
        <v>28 to 29</v>
      </c>
      <c r="C37" s="3">
        <f t="shared" si="17"/>
        <v>57</v>
      </c>
      <c r="D37" s="274">
        <f t="shared" si="18"/>
        <v>5.56640625E-2</v>
      </c>
      <c r="E37" s="3">
        <f t="shared" si="19"/>
        <v>1024</v>
      </c>
      <c r="G37" s="267">
        <f t="shared" si="22"/>
        <v>29</v>
      </c>
      <c r="H37" s="310">
        <f t="shared" si="20"/>
        <v>1.1489979248874558</v>
      </c>
      <c r="I37" s="274">
        <f t="shared" si="23"/>
        <v>5.56640625E-2</v>
      </c>
      <c r="J37" s="275">
        <f t="shared" si="21"/>
        <v>6.3957892303305647E-2</v>
      </c>
      <c r="K37" s="315">
        <v>0.56000000000000005</v>
      </c>
      <c r="L37" s="315">
        <f t="shared" ref="L37:L64" si="26">K37*I37</f>
        <v>3.1171875000000002E-2</v>
      </c>
      <c r="M37" s="275">
        <f t="shared" ref="M37:M64" si="27">L37*H37</f>
        <v>3.5816419689851164E-2</v>
      </c>
    </row>
    <row r="38" spans="1:13" x14ac:dyDescent="0.25">
      <c r="A38" s="281">
        <f t="shared" si="15"/>
        <v>28</v>
      </c>
      <c r="B38" s="3" t="str">
        <f t="shared" si="16"/>
        <v>27 to 28</v>
      </c>
      <c r="C38" s="3">
        <f t="shared" si="17"/>
        <v>55</v>
      </c>
      <c r="D38" s="274">
        <f t="shared" si="18"/>
        <v>5.37109375E-2</v>
      </c>
      <c r="E38" s="3">
        <f t="shared" si="19"/>
        <v>1024</v>
      </c>
      <c r="G38" s="267">
        <f t="shared" si="22"/>
        <v>28</v>
      </c>
      <c r="H38" s="310">
        <f t="shared" si="20"/>
        <v>1.2054691182999793</v>
      </c>
      <c r="I38" s="274">
        <f t="shared" si="23"/>
        <v>5.37109375E-2</v>
      </c>
      <c r="J38" s="275">
        <f t="shared" si="21"/>
        <v>6.474687647119029E-2</v>
      </c>
      <c r="K38" s="315">
        <v>0.57999999999999996</v>
      </c>
      <c r="L38" s="315">
        <f t="shared" si="26"/>
        <v>3.1152343749999999E-2</v>
      </c>
      <c r="M38" s="275">
        <f t="shared" si="27"/>
        <v>3.755318835329037E-2</v>
      </c>
    </row>
    <row r="39" spans="1:13" x14ac:dyDescent="0.25">
      <c r="A39" s="281">
        <f t="shared" si="15"/>
        <v>27</v>
      </c>
      <c r="B39" s="3" t="str">
        <f t="shared" si="16"/>
        <v>26 to 27</v>
      </c>
      <c r="C39" s="3">
        <f t="shared" si="17"/>
        <v>53</v>
      </c>
      <c r="D39" s="274">
        <f t="shared" si="18"/>
        <v>5.17578125E-2</v>
      </c>
      <c r="E39" s="3">
        <f t="shared" si="19"/>
        <v>1024</v>
      </c>
      <c r="G39" s="267">
        <f t="shared" si="22"/>
        <v>27</v>
      </c>
      <c r="H39" s="310">
        <f t="shared" si="20"/>
        <v>1.2658352764326011</v>
      </c>
      <c r="I39" s="274">
        <f t="shared" si="23"/>
        <v>5.17578125E-2</v>
      </c>
      <c r="J39" s="275">
        <f t="shared" si="21"/>
        <v>6.5516864893484239E-2</v>
      </c>
      <c r="K39" s="315">
        <v>0.6</v>
      </c>
      <c r="L39" s="315">
        <f t="shared" si="26"/>
        <v>3.1054687499999997E-2</v>
      </c>
      <c r="M39" s="275">
        <f t="shared" si="27"/>
        <v>3.9310118936090536E-2</v>
      </c>
    </row>
    <row r="40" spans="1:13" x14ac:dyDescent="0.25">
      <c r="A40" s="281">
        <f t="shared" si="15"/>
        <v>26</v>
      </c>
      <c r="B40" s="3" t="str">
        <f t="shared" si="16"/>
        <v>25 to 26</v>
      </c>
      <c r="C40" s="3">
        <f t="shared" si="17"/>
        <v>51</v>
      </c>
      <c r="D40" s="274">
        <f t="shared" si="18"/>
        <v>4.98046875E-2</v>
      </c>
      <c r="E40" s="3">
        <f t="shared" si="19"/>
        <v>1024</v>
      </c>
      <c r="G40" s="267">
        <f t="shared" si="22"/>
        <v>26</v>
      </c>
      <c r="H40" s="310">
        <f t="shared" si="20"/>
        <v>1.3304395947428798</v>
      </c>
      <c r="I40" s="274">
        <f t="shared" si="23"/>
        <v>4.98046875E-2</v>
      </c>
      <c r="J40" s="275">
        <f t="shared" si="21"/>
        <v>6.6262128253795766E-2</v>
      </c>
      <c r="K40" s="315">
        <v>0.63</v>
      </c>
      <c r="L40" s="315">
        <f t="shared" si="26"/>
        <v>3.1376953125000002E-2</v>
      </c>
      <c r="M40" s="275">
        <f t="shared" si="27"/>
        <v>4.1745140799891341E-2</v>
      </c>
    </row>
    <row r="41" spans="1:13" x14ac:dyDescent="0.25">
      <c r="A41" s="281">
        <f t="shared" si="15"/>
        <v>25</v>
      </c>
      <c r="B41" s="3" t="str">
        <f t="shared" si="16"/>
        <v>24 to 25</v>
      </c>
      <c r="C41" s="3">
        <f t="shared" si="17"/>
        <v>49</v>
      </c>
      <c r="D41" s="274">
        <f t="shared" si="18"/>
        <v>4.78515625E-2</v>
      </c>
      <c r="E41" s="3">
        <f t="shared" si="19"/>
        <v>1024</v>
      </c>
      <c r="G41" s="267">
        <f t="shared" si="22"/>
        <v>25</v>
      </c>
      <c r="H41" s="310">
        <f t="shared" si="20"/>
        <v>1.3996633038880175</v>
      </c>
      <c r="I41" s="274">
        <f t="shared" si="23"/>
        <v>4.78515625E-2</v>
      </c>
      <c r="J41" s="275">
        <f t="shared" si="21"/>
        <v>6.6976076064953968E-2</v>
      </c>
      <c r="K41" s="315">
        <v>0.66</v>
      </c>
      <c r="L41" s="315">
        <f t="shared" si="26"/>
        <v>3.1582031250000003E-2</v>
      </c>
      <c r="M41" s="275">
        <f t="shared" si="27"/>
        <v>4.4204210202869618E-2</v>
      </c>
    </row>
    <row r="42" spans="1:13" x14ac:dyDescent="0.25">
      <c r="A42" s="281">
        <f t="shared" si="15"/>
        <v>24</v>
      </c>
      <c r="B42" s="3" t="str">
        <f t="shared" si="16"/>
        <v>23 to 24</v>
      </c>
      <c r="C42" s="3">
        <f t="shared" si="17"/>
        <v>47</v>
      </c>
      <c r="D42" s="274">
        <f t="shared" si="18"/>
        <v>4.58984375E-2</v>
      </c>
      <c r="E42" s="3">
        <f t="shared" si="19"/>
        <v>1024</v>
      </c>
      <c r="G42" s="267">
        <f t="shared" si="22"/>
        <v>24</v>
      </c>
      <c r="H42" s="310">
        <f t="shared" si="20"/>
        <v>1.4739311883324122</v>
      </c>
      <c r="I42" s="274">
        <f t="shared" si="23"/>
        <v>4.58984375E-2</v>
      </c>
      <c r="J42" s="275">
        <f t="shared" si="21"/>
        <v>6.7651138526975949E-2</v>
      </c>
      <c r="K42" s="315">
        <v>0.69</v>
      </c>
      <c r="L42" s="315">
        <f t="shared" si="26"/>
        <v>3.1669921875E-2</v>
      </c>
      <c r="M42" s="275">
        <f t="shared" si="27"/>
        <v>4.6679285583613409E-2</v>
      </c>
    </row>
    <row r="43" spans="1:13" x14ac:dyDescent="0.25">
      <c r="A43" s="281">
        <f t="shared" si="15"/>
        <v>23</v>
      </c>
      <c r="B43" s="3" t="str">
        <f t="shared" si="16"/>
        <v>22 to 23</v>
      </c>
      <c r="C43" s="3">
        <f t="shared" si="17"/>
        <v>45</v>
      </c>
      <c r="D43" s="274">
        <f t="shared" si="18"/>
        <v>4.39453125E-2</v>
      </c>
      <c r="E43" s="3">
        <f t="shared" si="19"/>
        <v>1024</v>
      </c>
      <c r="G43" s="267">
        <f t="shared" si="22"/>
        <v>23</v>
      </c>
      <c r="H43" s="310">
        <f t="shared" si="20"/>
        <v>1.5537182022732752</v>
      </c>
      <c r="I43" s="274">
        <f t="shared" si="23"/>
        <v>4.39453125E-2</v>
      </c>
      <c r="J43" s="275">
        <f t="shared" si="21"/>
        <v>6.8278631935837289E-2</v>
      </c>
      <c r="K43" s="315">
        <v>0.72</v>
      </c>
      <c r="L43" s="315">
        <f t="shared" si="26"/>
        <v>3.1640624999999999E-2</v>
      </c>
      <c r="M43" s="275">
        <f t="shared" si="27"/>
        <v>4.9160614993802844E-2</v>
      </c>
    </row>
    <row r="44" spans="1:13" x14ac:dyDescent="0.25">
      <c r="A44" s="281">
        <f t="shared" si="15"/>
        <v>22</v>
      </c>
      <c r="B44" s="3" t="str">
        <f t="shared" si="16"/>
        <v>21 to 22</v>
      </c>
      <c r="C44" s="3">
        <f t="shared" si="17"/>
        <v>43</v>
      </c>
      <c r="D44" s="274">
        <f t="shared" si="18"/>
        <v>4.19921875E-2</v>
      </c>
      <c r="E44" s="3">
        <f t="shared" si="19"/>
        <v>1024</v>
      </c>
      <c r="G44" s="267">
        <f t="shared" si="22"/>
        <v>22</v>
      </c>
      <c r="H44" s="310">
        <f t="shared" si="20"/>
        <v>1.6395574759940699</v>
      </c>
      <c r="I44" s="274">
        <f t="shared" si="23"/>
        <v>4.19921875E-2</v>
      </c>
      <c r="J44" s="275">
        <f t="shared" si="21"/>
        <v>6.884860494896973E-2</v>
      </c>
      <c r="K44" s="315">
        <v>0.75</v>
      </c>
      <c r="L44" s="315">
        <f t="shared" si="26"/>
        <v>3.1494140625E-2</v>
      </c>
      <c r="M44" s="275">
        <f t="shared" si="27"/>
        <v>5.1636453711727301E-2</v>
      </c>
    </row>
    <row r="45" spans="1:13" x14ac:dyDescent="0.25">
      <c r="A45" s="281">
        <f t="shared" si="15"/>
        <v>21</v>
      </c>
      <c r="B45" s="3" t="str">
        <f t="shared" si="16"/>
        <v>20 to 21</v>
      </c>
      <c r="C45" s="3">
        <f t="shared" si="17"/>
        <v>41</v>
      </c>
      <c r="D45" s="274">
        <f t="shared" si="18"/>
        <v>4.00390625E-2</v>
      </c>
      <c r="E45" s="3">
        <f t="shared" si="19"/>
        <v>1024</v>
      </c>
      <c r="G45" s="267">
        <f t="shared" si="22"/>
        <v>21</v>
      </c>
      <c r="H45" s="310">
        <f t="shared" si="20"/>
        <v>1.7320501037520897</v>
      </c>
      <c r="I45" s="274">
        <f t="shared" si="23"/>
        <v>4.00390625E-2</v>
      </c>
      <c r="J45" s="275">
        <f t="shared" si="21"/>
        <v>6.9349662357261407E-2</v>
      </c>
      <c r="K45" s="315">
        <v>0.8</v>
      </c>
      <c r="L45" s="315">
        <f t="shared" si="26"/>
        <v>3.2031250000000004E-2</v>
      </c>
      <c r="M45" s="275">
        <f t="shared" si="27"/>
        <v>5.5479729885809133E-2</v>
      </c>
    </row>
    <row r="46" spans="1:13" x14ac:dyDescent="0.25">
      <c r="A46" s="281">
        <f t="shared" si="15"/>
        <v>20</v>
      </c>
      <c r="B46" s="3" t="str">
        <f t="shared" si="16"/>
        <v>19 to 20</v>
      </c>
      <c r="C46" s="3">
        <f t="shared" si="17"/>
        <v>39</v>
      </c>
      <c r="D46" s="274">
        <f t="shared" si="18"/>
        <v>3.80859375E-2</v>
      </c>
      <c r="E46" s="3">
        <f t="shared" si="19"/>
        <v>1024</v>
      </c>
      <c r="G46" s="267">
        <f t="shared" si="22"/>
        <v>20</v>
      </c>
      <c r="H46" s="310">
        <f t="shared" si="20"/>
        <v>1.8318772411916731</v>
      </c>
      <c r="I46" s="274">
        <f t="shared" si="23"/>
        <v>3.80859375E-2</v>
      </c>
      <c r="J46" s="275">
        <f t="shared" si="21"/>
        <v>6.9768762115698491E-2</v>
      </c>
      <c r="K46" s="315">
        <v>0.85</v>
      </c>
      <c r="L46" s="315">
        <f t="shared" si="26"/>
        <v>3.2373046874999999E-2</v>
      </c>
      <c r="M46" s="275">
        <f t="shared" si="27"/>
        <v>5.9303447798343713E-2</v>
      </c>
    </row>
    <row r="47" spans="1:13" x14ac:dyDescent="0.25">
      <c r="A47" s="281">
        <f t="shared" si="15"/>
        <v>19</v>
      </c>
      <c r="B47" s="3" t="str">
        <f t="shared" si="16"/>
        <v>18 to 19</v>
      </c>
      <c r="C47" s="3">
        <f t="shared" si="17"/>
        <v>37</v>
      </c>
      <c r="D47" s="274">
        <f t="shared" si="18"/>
        <v>3.61328125E-2</v>
      </c>
      <c r="E47" s="3">
        <f t="shared" si="19"/>
        <v>1024</v>
      </c>
      <c r="G47" s="267">
        <f t="shared" si="22"/>
        <v>19</v>
      </c>
      <c r="H47" s="310">
        <f t="shared" si="20"/>
        <v>1.9398152340493795</v>
      </c>
      <c r="I47" s="274">
        <f t="shared" si="23"/>
        <v>3.61328125E-2</v>
      </c>
      <c r="J47" s="275">
        <f t="shared" si="21"/>
        <v>7.0090980136549852E-2</v>
      </c>
      <c r="K47" s="315">
        <v>0.9</v>
      </c>
      <c r="L47" s="315">
        <f t="shared" si="26"/>
        <v>3.2519531250000004E-2</v>
      </c>
      <c r="M47" s="275">
        <f t="shared" si="27"/>
        <v>6.3081882122894867E-2</v>
      </c>
    </row>
    <row r="48" spans="1:13" x14ac:dyDescent="0.25">
      <c r="A48" s="281">
        <f t="shared" si="15"/>
        <v>18</v>
      </c>
      <c r="B48" s="3" t="str">
        <f t="shared" si="16"/>
        <v>17 to 18</v>
      </c>
      <c r="C48" s="3">
        <f t="shared" si="17"/>
        <v>35</v>
      </c>
      <c r="D48" s="274">
        <f t="shared" si="18"/>
        <v>3.41796875E-2</v>
      </c>
      <c r="E48" s="3">
        <f t="shared" si="19"/>
        <v>1024</v>
      </c>
      <c r="G48" s="267">
        <f t="shared" si="22"/>
        <v>18</v>
      </c>
      <c r="H48" s="310">
        <f t="shared" si="20"/>
        <v>2.0567547782972335</v>
      </c>
      <c r="I48" s="274">
        <f t="shared" si="23"/>
        <v>3.41796875E-2</v>
      </c>
      <c r="J48" s="275">
        <f t="shared" si="21"/>
        <v>7.0299235586331221E-2</v>
      </c>
      <c r="K48" s="315">
        <v>0.95</v>
      </c>
      <c r="L48" s="315">
        <f t="shared" si="26"/>
        <v>3.2470703125E-2</v>
      </c>
      <c r="M48" s="275">
        <f t="shared" si="27"/>
        <v>6.6784273807014669E-2</v>
      </c>
    </row>
    <row r="49" spans="1:13" x14ac:dyDescent="0.25">
      <c r="A49" s="281">
        <f t="shared" si="15"/>
        <v>17</v>
      </c>
      <c r="B49" s="3" t="str">
        <f t="shared" si="16"/>
        <v>16 to 17</v>
      </c>
      <c r="C49" s="3">
        <f t="shared" si="17"/>
        <v>33</v>
      </c>
      <c r="D49" s="274">
        <f t="shared" si="18"/>
        <v>3.22265625E-2</v>
      </c>
      <c r="E49" s="3">
        <f t="shared" si="19"/>
        <v>1024</v>
      </c>
      <c r="G49" s="267">
        <f t="shared" si="22"/>
        <v>17</v>
      </c>
      <c r="H49" s="310">
        <f t="shared" si="20"/>
        <v>2.1837255183922082</v>
      </c>
      <c r="I49" s="274">
        <f t="shared" si="23"/>
        <v>3.22265625E-2</v>
      </c>
      <c r="J49" s="275">
        <f t="shared" si="21"/>
        <v>7.0373966901311397E-2</v>
      </c>
      <c r="K49" s="315">
        <v>1</v>
      </c>
      <c r="L49" s="315">
        <f t="shared" si="26"/>
        <v>3.22265625E-2</v>
      </c>
      <c r="M49" s="275">
        <f t="shared" si="27"/>
        <v>7.0373966901311397E-2</v>
      </c>
    </row>
    <row r="50" spans="1:13" x14ac:dyDescent="0.25">
      <c r="A50" s="281">
        <f t="shared" si="15"/>
        <v>16</v>
      </c>
      <c r="B50" s="3" t="str">
        <f t="shared" si="16"/>
        <v>15 to 16</v>
      </c>
      <c r="C50" s="3">
        <f t="shared" si="17"/>
        <v>31</v>
      </c>
      <c r="D50" s="274">
        <f t="shared" si="18"/>
        <v>3.02734375E-2</v>
      </c>
      <c r="E50" s="3">
        <f t="shared" si="19"/>
        <v>1024</v>
      </c>
      <c r="G50" s="267">
        <f t="shared" si="22"/>
        <v>16</v>
      </c>
      <c r="H50" s="310">
        <f t="shared" si="20"/>
        <v>2.3219280948873622</v>
      </c>
      <c r="I50" s="274">
        <f t="shared" si="23"/>
        <v>3.02734375E-2</v>
      </c>
      <c r="J50" s="275">
        <f t="shared" si="21"/>
        <v>7.0292745060066622E-2</v>
      </c>
      <c r="K50" s="315">
        <v>1.1000000000000001</v>
      </c>
      <c r="L50" s="315">
        <f t="shared" si="26"/>
        <v>3.3300781250000001E-2</v>
      </c>
      <c r="M50" s="275">
        <f t="shared" si="27"/>
        <v>7.7322019566073291E-2</v>
      </c>
    </row>
    <row r="51" spans="1:13" x14ac:dyDescent="0.25">
      <c r="A51" s="281">
        <f t="shared" si="15"/>
        <v>15</v>
      </c>
      <c r="B51" s="3" t="str">
        <f t="shared" si="16"/>
        <v>14 to 15</v>
      </c>
      <c r="C51" s="3">
        <f t="shared" si="17"/>
        <v>29</v>
      </c>
      <c r="D51" s="274">
        <f t="shared" si="18"/>
        <v>2.83203125E-2</v>
      </c>
      <c r="E51" s="3">
        <f t="shared" si="19"/>
        <v>1024</v>
      </c>
      <c r="G51" s="267">
        <f t="shared" si="22"/>
        <v>15</v>
      </c>
      <c r="H51" s="310">
        <f t="shared" si="20"/>
        <v>2.4727765703909204</v>
      </c>
      <c r="I51" s="274">
        <f t="shared" si="23"/>
        <v>2.83203125E-2</v>
      </c>
      <c r="J51" s="275">
        <f t="shared" si="21"/>
        <v>7.0029805216149113E-2</v>
      </c>
      <c r="K51" s="315">
        <v>1.2</v>
      </c>
      <c r="L51" s="315">
        <f t="shared" si="26"/>
        <v>3.3984374999999997E-2</v>
      </c>
      <c r="M51" s="275">
        <f t="shared" si="27"/>
        <v>8.4035766259378933E-2</v>
      </c>
    </row>
    <row r="52" spans="1:13" x14ac:dyDescent="0.25">
      <c r="A52" s="281">
        <f t="shared" si="15"/>
        <v>14</v>
      </c>
      <c r="B52" s="3" t="str">
        <f t="shared" si="16"/>
        <v>13 to 14</v>
      </c>
      <c r="C52" s="3">
        <f t="shared" si="17"/>
        <v>27</v>
      </c>
      <c r="D52" s="274">
        <f t="shared" si="18"/>
        <v>2.63671875E-2</v>
      </c>
      <c r="E52" s="3">
        <f t="shared" si="19"/>
        <v>1024</v>
      </c>
      <c r="G52" s="267">
        <f t="shared" si="22"/>
        <v>14</v>
      </c>
      <c r="H52" s="310">
        <f t="shared" si="20"/>
        <v>2.6379555883350405</v>
      </c>
      <c r="I52" s="274">
        <f t="shared" si="23"/>
        <v>2.63671875E-2</v>
      </c>
      <c r="J52" s="275">
        <f t="shared" si="21"/>
        <v>6.9555469614302826E-2</v>
      </c>
      <c r="K52" s="315">
        <v>1.3</v>
      </c>
      <c r="L52" s="315">
        <f t="shared" si="26"/>
        <v>3.4277343750000001E-2</v>
      </c>
      <c r="M52" s="275">
        <f t="shared" si="27"/>
        <v>9.042211049859368E-2</v>
      </c>
    </row>
    <row r="53" spans="1:13" x14ac:dyDescent="0.25">
      <c r="A53" s="281">
        <f t="shared" si="15"/>
        <v>13</v>
      </c>
      <c r="B53" s="3" t="str">
        <f t="shared" si="16"/>
        <v>12 to 13</v>
      </c>
      <c r="C53" s="3">
        <f t="shared" si="17"/>
        <v>25</v>
      </c>
      <c r="D53" s="274">
        <f t="shared" si="18"/>
        <v>2.44140625E-2</v>
      </c>
      <c r="E53" s="3">
        <f t="shared" si="19"/>
        <v>1024</v>
      </c>
      <c r="G53" s="267">
        <f t="shared" si="22"/>
        <v>13</v>
      </c>
      <c r="H53" s="310">
        <f t="shared" si="20"/>
        <v>2.8194988914130437</v>
      </c>
      <c r="I53" s="274">
        <f t="shared" si="23"/>
        <v>2.44140625E-2</v>
      </c>
      <c r="J53" s="275">
        <f t="shared" si="21"/>
        <v>6.8835422153638762E-2</v>
      </c>
      <c r="K53" s="315">
        <v>1.4</v>
      </c>
      <c r="L53" s="315">
        <f t="shared" si="26"/>
        <v>3.41796875E-2</v>
      </c>
      <c r="M53" s="275">
        <f t="shared" si="27"/>
        <v>9.6369591015094264E-2</v>
      </c>
    </row>
    <row r="54" spans="1:13" x14ac:dyDescent="0.25">
      <c r="A54" s="281">
        <f t="shared" si="15"/>
        <v>12</v>
      </c>
      <c r="B54" s="3" t="str">
        <f t="shared" si="16"/>
        <v>11 to 12</v>
      </c>
      <c r="C54" s="3">
        <f t="shared" si="17"/>
        <v>23</v>
      </c>
      <c r="D54" s="274">
        <f t="shared" si="18"/>
        <v>2.24609375E-2</v>
      </c>
      <c r="E54" s="3">
        <f t="shared" si="19"/>
        <v>1024</v>
      </c>
      <c r="G54" s="267">
        <f t="shared" si="22"/>
        <v>12</v>
      </c>
      <c r="H54" s="310">
        <f t="shared" si="20"/>
        <v>3.019899557437705</v>
      </c>
      <c r="I54" s="274">
        <f t="shared" si="23"/>
        <v>2.24609375E-2</v>
      </c>
      <c r="J54" s="275">
        <f t="shared" si="21"/>
        <v>6.7829775215885957E-2</v>
      </c>
      <c r="K54" s="315">
        <v>1.5</v>
      </c>
      <c r="L54" s="315">
        <f t="shared" si="26"/>
        <v>3.369140625E-2</v>
      </c>
      <c r="M54" s="275">
        <f t="shared" si="27"/>
        <v>0.10174466282382892</v>
      </c>
    </row>
    <row r="55" spans="1:13" x14ac:dyDescent="0.25">
      <c r="A55" s="281">
        <f t="shared" si="15"/>
        <v>11</v>
      </c>
      <c r="B55" s="3" t="str">
        <f t="shared" si="16"/>
        <v>10 to 11</v>
      </c>
      <c r="C55" s="3">
        <f t="shared" si="17"/>
        <v>21</v>
      </c>
      <c r="D55" s="274">
        <f t="shared" si="18"/>
        <v>2.05078125E-2</v>
      </c>
      <c r="E55" s="3">
        <f t="shared" si="19"/>
        <v>1024</v>
      </c>
      <c r="G55" s="267">
        <f t="shared" si="22"/>
        <v>11</v>
      </c>
      <c r="H55" s="310">
        <f t="shared" si="20"/>
        <v>3.2422686457097121</v>
      </c>
      <c r="I55" s="274">
        <f t="shared" si="23"/>
        <v>2.05078125E-2</v>
      </c>
      <c r="J55" s="275">
        <f t="shared" si="21"/>
        <v>6.6491837460843708E-2</v>
      </c>
      <c r="K55" s="315">
        <v>1.7</v>
      </c>
      <c r="L55" s="315">
        <f t="shared" si="26"/>
        <v>3.4863281249999996E-2</v>
      </c>
      <c r="M55" s="275">
        <f t="shared" si="27"/>
        <v>0.11303612368343428</v>
      </c>
    </row>
    <row r="56" spans="1:13" x14ac:dyDescent="0.25">
      <c r="A56" s="281">
        <f t="shared" si="15"/>
        <v>10</v>
      </c>
      <c r="B56" s="3" t="str">
        <f t="shared" si="16"/>
        <v>9 to 10</v>
      </c>
      <c r="C56" s="3">
        <f t="shared" si="17"/>
        <v>19</v>
      </c>
      <c r="D56" s="274">
        <f t="shared" si="18"/>
        <v>1.85546875E-2</v>
      </c>
      <c r="E56" s="3">
        <f t="shared" si="19"/>
        <v>1024</v>
      </c>
      <c r="G56" s="267">
        <f t="shared" si="22"/>
        <v>10</v>
      </c>
      <c r="H56" s="310">
        <f t="shared" si="20"/>
        <v>3.4905701304462013</v>
      </c>
      <c r="I56" s="274">
        <f t="shared" si="23"/>
        <v>1.85546875E-2</v>
      </c>
      <c r="J56" s="275">
        <f t="shared" si="21"/>
        <v>6.4766437967263502E-2</v>
      </c>
      <c r="K56" s="315">
        <v>1.9</v>
      </c>
      <c r="L56" s="315">
        <f t="shared" si="26"/>
        <v>3.5253906250000001E-2</v>
      </c>
      <c r="M56" s="275">
        <f t="shared" si="27"/>
        <v>0.12305623213780066</v>
      </c>
    </row>
    <row r="57" spans="1:13" x14ac:dyDescent="0.25">
      <c r="A57" s="281">
        <f t="shared" si="15"/>
        <v>9</v>
      </c>
      <c r="B57" s="3" t="str">
        <f t="shared" si="16"/>
        <v>8 to 9</v>
      </c>
      <c r="C57" s="3">
        <f t="shared" si="17"/>
        <v>17</v>
      </c>
      <c r="D57" s="274">
        <f t="shared" si="18"/>
        <v>1.66015625E-2</v>
      </c>
      <c r="E57" s="3">
        <f t="shared" si="19"/>
        <v>1024</v>
      </c>
      <c r="G57" s="267">
        <f t="shared" si="22"/>
        <v>9</v>
      </c>
      <c r="H57" s="310">
        <f t="shared" si="20"/>
        <v>3.7699806513941692</v>
      </c>
      <c r="I57" s="274">
        <f t="shared" si="23"/>
        <v>1.66015625E-2</v>
      </c>
      <c r="J57" s="275">
        <f t="shared" si="21"/>
        <v>6.2587569407911006E-2</v>
      </c>
      <c r="K57" s="315">
        <v>2.1</v>
      </c>
      <c r="L57" s="315">
        <f t="shared" si="26"/>
        <v>3.4863281250000003E-2</v>
      </c>
      <c r="M57" s="275">
        <f t="shared" si="27"/>
        <v>0.13143389575661313</v>
      </c>
    </row>
    <row r="58" spans="1:13" x14ac:dyDescent="0.25">
      <c r="A58" s="281">
        <f t="shared" si="15"/>
        <v>8</v>
      </c>
      <c r="B58" s="3" t="str">
        <f t="shared" si="16"/>
        <v>7 to 8</v>
      </c>
      <c r="C58" s="3">
        <f t="shared" si="17"/>
        <v>15</v>
      </c>
      <c r="D58" s="274">
        <f t="shared" si="18"/>
        <v>1.46484375E-2</v>
      </c>
      <c r="E58" s="3">
        <f t="shared" si="19"/>
        <v>1024</v>
      </c>
      <c r="G58" s="267">
        <f t="shared" si="22"/>
        <v>8</v>
      </c>
      <c r="H58" s="310">
        <f t="shared" si="20"/>
        <v>4.08746284125034</v>
      </c>
      <c r="I58" s="274">
        <f t="shared" si="23"/>
        <v>1.46484375E-2</v>
      </c>
      <c r="J58" s="275">
        <f t="shared" si="21"/>
        <v>5.9874943963628025E-2</v>
      </c>
      <c r="K58" s="315">
        <v>2.5</v>
      </c>
      <c r="L58" s="315">
        <f t="shared" si="26"/>
        <v>3.662109375E-2</v>
      </c>
      <c r="M58" s="275">
        <f t="shared" si="27"/>
        <v>0.14968735990907006</v>
      </c>
    </row>
    <row r="59" spans="1:13" x14ac:dyDescent="0.25">
      <c r="A59" s="281">
        <f t="shared" si="15"/>
        <v>7</v>
      </c>
      <c r="B59" s="3" t="str">
        <f t="shared" si="16"/>
        <v>6 to 7</v>
      </c>
      <c r="C59" s="3">
        <f t="shared" si="17"/>
        <v>13</v>
      </c>
      <c r="D59" s="274">
        <f t="shared" si="18"/>
        <v>1.26953125E-2</v>
      </c>
      <c r="E59" s="3">
        <f t="shared" si="19"/>
        <v>1024</v>
      </c>
      <c r="G59" s="267">
        <f t="shared" si="22"/>
        <v>7</v>
      </c>
      <c r="H59" s="310">
        <f t="shared" si="20"/>
        <v>4.4527245166413136</v>
      </c>
      <c r="I59" s="274">
        <f t="shared" si="23"/>
        <v>1.26953125E-2</v>
      </c>
      <c r="J59" s="275">
        <f t="shared" si="21"/>
        <v>5.6528729215172928E-2</v>
      </c>
      <c r="K59" s="315">
        <v>3</v>
      </c>
      <c r="L59" s="315">
        <f t="shared" si="26"/>
        <v>3.80859375E-2</v>
      </c>
      <c r="M59" s="275">
        <f t="shared" si="27"/>
        <v>0.16958618764551878</v>
      </c>
    </row>
    <row r="60" spans="1:13" x14ac:dyDescent="0.25">
      <c r="A60" s="281">
        <f t="shared" si="15"/>
        <v>6</v>
      </c>
      <c r="B60" s="3" t="str">
        <f t="shared" si="16"/>
        <v>5 to 6</v>
      </c>
      <c r="C60" s="3">
        <f t="shared" si="17"/>
        <v>11</v>
      </c>
      <c r="D60" s="274">
        <f t="shared" si="18"/>
        <v>1.07421875E-2</v>
      </c>
      <c r="E60" s="3">
        <f t="shared" si="19"/>
        <v>1024</v>
      </c>
      <c r="G60" s="267">
        <f t="shared" si="22"/>
        <v>6</v>
      </c>
      <c r="H60" s="310">
        <f t="shared" si="20"/>
        <v>4.8799235480082492</v>
      </c>
      <c r="I60" s="274">
        <f t="shared" si="23"/>
        <v>1.07421875E-2</v>
      </c>
      <c r="J60" s="275">
        <f t="shared" si="21"/>
        <v>5.2421053738369867E-2</v>
      </c>
      <c r="K60" s="315">
        <v>3.5</v>
      </c>
      <c r="L60" s="315">
        <f t="shared" si="26"/>
        <v>3.759765625E-2</v>
      </c>
      <c r="M60" s="275">
        <f t="shared" si="27"/>
        <v>0.18347368808429454</v>
      </c>
    </row>
    <row r="61" spans="1:13" x14ac:dyDescent="0.25">
      <c r="A61" s="281">
        <f t="shared" si="15"/>
        <v>5</v>
      </c>
      <c r="B61" s="3" t="str">
        <f t="shared" si="16"/>
        <v>4 to 5</v>
      </c>
      <c r="C61" s="3">
        <f t="shared" si="17"/>
        <v>9</v>
      </c>
      <c r="D61" s="274">
        <f t="shared" si="18"/>
        <v>8.7890625E-3</v>
      </c>
      <c r="E61" s="3">
        <f t="shared" si="19"/>
        <v>1024</v>
      </c>
      <c r="G61" s="267">
        <f t="shared" si="22"/>
        <v>5</v>
      </c>
      <c r="H61" s="310">
        <f t="shared" si="20"/>
        <v>5.3909427728025436</v>
      </c>
      <c r="I61" s="274">
        <f t="shared" si="23"/>
        <v>8.7890625E-3</v>
      </c>
      <c r="J61" s="275">
        <f t="shared" si="21"/>
        <v>4.7381332964084859E-2</v>
      </c>
      <c r="K61" s="315">
        <v>4</v>
      </c>
      <c r="L61" s="315">
        <f t="shared" si="26"/>
        <v>3.515625E-2</v>
      </c>
      <c r="M61" s="275">
        <f t="shared" si="27"/>
        <v>0.18952533185633944</v>
      </c>
    </row>
    <row r="62" spans="1:13" x14ac:dyDescent="0.25">
      <c r="A62" s="281">
        <f t="shared" si="15"/>
        <v>4</v>
      </c>
      <c r="B62" s="3" t="str">
        <f t="shared" si="16"/>
        <v>3 to 4</v>
      </c>
      <c r="C62" s="3">
        <f t="shared" si="17"/>
        <v>7</v>
      </c>
      <c r="D62" s="274">
        <f t="shared" si="18"/>
        <v>6.8359375E-3</v>
      </c>
      <c r="E62" s="3">
        <f t="shared" si="19"/>
        <v>1024</v>
      </c>
      <c r="G62" s="267">
        <f t="shared" si="22"/>
        <v>4</v>
      </c>
      <c r="H62" s="310">
        <f t="shared" si="20"/>
        <v>6.0223678130284544</v>
      </c>
      <c r="I62" s="274">
        <f t="shared" si="23"/>
        <v>6.8359375E-3</v>
      </c>
      <c r="J62" s="275">
        <f t="shared" si="21"/>
        <v>4.1168529971874201E-2</v>
      </c>
      <c r="K62" s="315">
        <v>4.3</v>
      </c>
      <c r="L62" s="315">
        <f t="shared" si="26"/>
        <v>2.9394531249999998E-2</v>
      </c>
      <c r="M62" s="275">
        <f t="shared" si="27"/>
        <v>0.17702467887905904</v>
      </c>
    </row>
    <row r="63" spans="1:13" x14ac:dyDescent="0.25">
      <c r="A63" s="281">
        <f t="shared" si="15"/>
        <v>3</v>
      </c>
      <c r="B63" s="3" t="str">
        <f t="shared" si="16"/>
        <v>2 to 3</v>
      </c>
      <c r="C63" s="3">
        <f t="shared" si="17"/>
        <v>5</v>
      </c>
      <c r="D63" s="274">
        <f t="shared" si="18"/>
        <v>4.8828125E-3</v>
      </c>
      <c r="E63" s="3">
        <f t="shared" si="19"/>
        <v>1024</v>
      </c>
      <c r="G63" s="267">
        <f t="shared" si="22"/>
        <v>3</v>
      </c>
      <c r="H63" s="310">
        <f t="shared" si="20"/>
        <v>6.8426995374227477</v>
      </c>
      <c r="I63" s="274">
        <f t="shared" si="23"/>
        <v>4.8828125E-3</v>
      </c>
      <c r="J63" s="275">
        <f t="shared" si="21"/>
        <v>3.3411618835072009E-2</v>
      </c>
      <c r="K63" s="315">
        <v>4.5999999999999996</v>
      </c>
      <c r="L63" s="315">
        <f t="shared" si="26"/>
        <v>2.24609375E-2</v>
      </c>
      <c r="M63" s="275">
        <f t="shared" si="27"/>
        <v>0.15369344664133125</v>
      </c>
    </row>
    <row r="64" spans="1:13" x14ac:dyDescent="0.25">
      <c r="A64" s="281">
        <f t="shared" si="15"/>
        <v>2</v>
      </c>
      <c r="B64" s="3" t="str">
        <f t="shared" si="16"/>
        <v>1 to 2</v>
      </c>
      <c r="C64" s="3">
        <f t="shared" si="17"/>
        <v>3</v>
      </c>
      <c r="D64" s="274">
        <f t="shared" si="18"/>
        <v>2.9296875E-3</v>
      </c>
      <c r="E64" s="3">
        <f t="shared" si="19"/>
        <v>1024</v>
      </c>
      <c r="G64" s="267">
        <f t="shared" si="22"/>
        <v>2</v>
      </c>
      <c r="H64" s="310">
        <f t="shared" si="20"/>
        <v>8.0056245491938789</v>
      </c>
      <c r="I64" s="274">
        <f t="shared" si="23"/>
        <v>2.9296875E-3</v>
      </c>
      <c r="J64" s="275">
        <f t="shared" si="21"/>
        <v>2.3453978171466442E-2</v>
      </c>
      <c r="K64" s="315">
        <v>5</v>
      </c>
      <c r="L64" s="315">
        <f t="shared" si="26"/>
        <v>1.46484375E-2</v>
      </c>
      <c r="M64" s="275">
        <f t="shared" si="27"/>
        <v>0.11726989085733221</v>
      </c>
    </row>
    <row r="65" spans="1:13" ht="15.75" thickBot="1" x14ac:dyDescent="0.3">
      <c r="A65" s="295">
        <v>1</v>
      </c>
      <c r="B65" s="296" t="str">
        <f t="shared" si="16"/>
        <v>0 to 1</v>
      </c>
      <c r="C65" s="296">
        <f t="shared" si="17"/>
        <v>1</v>
      </c>
      <c r="D65" s="297">
        <f t="shared" si="18"/>
        <v>9.765625E-4</v>
      </c>
      <c r="E65" s="3">
        <f>E66</f>
        <v>1024</v>
      </c>
      <c r="G65" s="301">
        <f>A65</f>
        <v>1</v>
      </c>
      <c r="H65" s="311">
        <f t="shared" si="20"/>
        <v>10.001408194392809</v>
      </c>
      <c r="I65" s="297">
        <f t="shared" si="23"/>
        <v>9.765625E-4</v>
      </c>
      <c r="J65" s="299">
        <f t="shared" si="21"/>
        <v>9.7670001898367276E-3</v>
      </c>
      <c r="K65" s="316">
        <v>5.8</v>
      </c>
      <c r="L65" s="297">
        <f t="shared" ref="L65" si="28">K65*I65</f>
        <v>5.6640624999999998E-3</v>
      </c>
      <c r="M65" s="299">
        <f t="shared" ref="M65" si="29">L65*H65</f>
        <v>5.664860110105302E-2</v>
      </c>
    </row>
    <row r="66" spans="1:13" ht="15.75" thickTop="1" x14ac:dyDescent="0.25">
      <c r="A66" s="291" t="s">
        <v>326</v>
      </c>
      <c r="B66" s="292"/>
      <c r="C66" s="293"/>
      <c r="D66" s="294">
        <f>SUM(D34:D65)</f>
        <v>1</v>
      </c>
      <c r="E66" s="278">
        <f>A34^2</f>
        <v>1024</v>
      </c>
      <c r="G66" s="313" t="s">
        <v>326</v>
      </c>
      <c r="H66" s="312"/>
      <c r="I66" s="294">
        <f>SUM(I34:I65)</f>
        <v>1</v>
      </c>
      <c r="J66" s="298">
        <f>SUM(J34:J65)</f>
        <v>1.9335375507030261</v>
      </c>
      <c r="K66" s="294"/>
      <c r="L66" s="294">
        <f t="shared" ref="L66:M66" si="30">SUM(L34:L65)</f>
        <v>0.99965820312500009</v>
      </c>
      <c r="M66" s="298">
        <f t="shared" si="30"/>
        <v>2.7727415985921433</v>
      </c>
    </row>
    <row r="68" spans="1:13" ht="45.75" thickBot="1" x14ac:dyDescent="0.3">
      <c r="A68" s="150" t="s">
        <v>334</v>
      </c>
      <c r="B68" s="103" t="s">
        <v>320</v>
      </c>
      <c r="C68" s="103" t="s">
        <v>321</v>
      </c>
      <c r="D68" s="103" t="s">
        <v>310</v>
      </c>
      <c r="E68" s="252" t="s">
        <v>328</v>
      </c>
      <c r="G68" s="103" t="s">
        <v>334</v>
      </c>
      <c r="H68" s="150" t="s">
        <v>311</v>
      </c>
      <c r="I68" s="103" t="s">
        <v>337</v>
      </c>
      <c r="J68" s="103" t="s">
        <v>330</v>
      </c>
      <c r="K68" s="103" t="s">
        <v>329</v>
      </c>
      <c r="L68" s="103"/>
      <c r="M68" s="103" t="s">
        <v>330</v>
      </c>
    </row>
    <row r="69" spans="1:13" ht="15.75" thickTop="1" x14ac:dyDescent="0.25">
      <c r="A69" s="281">
        <f t="shared" ref="A69:A132" si="31">A70+1</f>
        <v>258</v>
      </c>
      <c r="B69" s="3" t="str">
        <f t="shared" ref="B69:B132" si="32">(A69-1) &amp; " to " &amp;A69</f>
        <v>257 to 258</v>
      </c>
      <c r="C69" s="3">
        <f t="shared" ref="C69:C132" si="33">2*A69-1</f>
        <v>515</v>
      </c>
      <c r="D69" s="286">
        <f t="shared" ref="D69:D132" si="34">(2*A69-1)/E69</f>
        <v>7.7369148488672553E-3</v>
      </c>
      <c r="E69" s="3">
        <f t="shared" ref="E69:E132" si="35">E70</f>
        <v>66564</v>
      </c>
      <c r="G69" s="306">
        <f>A69</f>
        <v>258</v>
      </c>
      <c r="H69" s="309">
        <f t="shared" ref="H69:H70" si="36">LOG(1+E69/A69^2,2)</f>
        <v>1</v>
      </c>
      <c r="I69" s="274">
        <f>D69</f>
        <v>7.7369148488672553E-3</v>
      </c>
      <c r="J69" s="275">
        <f t="shared" ref="J69:J132" si="37">I69*$H69</f>
        <v>7.7369148488672553E-3</v>
      </c>
      <c r="K69" s="274"/>
      <c r="L69" s="274"/>
      <c r="M69" s="275">
        <f t="shared" ref="M69:M132" si="38">K69*$H69</f>
        <v>0</v>
      </c>
    </row>
    <row r="70" spans="1:13" x14ac:dyDescent="0.25">
      <c r="A70" s="281">
        <f t="shared" si="31"/>
        <v>257</v>
      </c>
      <c r="B70" s="3" t="str">
        <f t="shared" si="32"/>
        <v>256 to 257</v>
      </c>
      <c r="C70" s="3">
        <f t="shared" si="33"/>
        <v>513</v>
      </c>
      <c r="D70" s="286">
        <f t="shared" si="34"/>
        <v>7.7068685776095188E-3</v>
      </c>
      <c r="E70" s="3">
        <f t="shared" si="35"/>
        <v>66564</v>
      </c>
      <c r="G70" s="267">
        <f t="shared" ref="G70" si="39">A70</f>
        <v>257</v>
      </c>
      <c r="H70" s="310">
        <f t="shared" si="36"/>
        <v>1.0056135852569255</v>
      </c>
      <c r="I70" s="274">
        <f t="shared" ref="I70" si="40">D70</f>
        <v>7.7068685776095188E-3</v>
      </c>
      <c r="J70" s="275">
        <f t="shared" si="37"/>
        <v>7.7501317414338496E-3</v>
      </c>
      <c r="K70" s="274"/>
      <c r="L70" s="274"/>
      <c r="M70" s="275">
        <f t="shared" si="38"/>
        <v>0</v>
      </c>
    </row>
    <row r="71" spans="1:13" x14ac:dyDescent="0.25">
      <c r="A71" s="281">
        <f t="shared" si="31"/>
        <v>256</v>
      </c>
      <c r="B71" s="3" t="str">
        <f t="shared" si="32"/>
        <v>255 to 256</v>
      </c>
      <c r="C71" s="3">
        <f t="shared" si="33"/>
        <v>511</v>
      </c>
      <c r="D71" s="286">
        <f t="shared" si="34"/>
        <v>7.6768223063517814E-3</v>
      </c>
      <c r="E71" s="3">
        <f t="shared" si="35"/>
        <v>66564</v>
      </c>
      <c r="G71" s="267">
        <f t="shared" ref="G71:G134" si="41">A71</f>
        <v>256</v>
      </c>
      <c r="H71" s="310">
        <f t="shared" ref="H71:H134" si="42">LOG(1+E71/A71^2,2)</f>
        <v>1.0112709410215523</v>
      </c>
      <c r="I71" s="274">
        <f t="shared" ref="I71:I134" si="43">D71</f>
        <v>7.6768223063517814E-3</v>
      </c>
      <c r="J71" s="275">
        <f t="shared" si="37"/>
        <v>7.7633473177996098E-3</v>
      </c>
      <c r="K71" s="274"/>
      <c r="L71" s="274"/>
      <c r="M71" s="275">
        <f t="shared" si="38"/>
        <v>0</v>
      </c>
    </row>
    <row r="72" spans="1:13" x14ac:dyDescent="0.25">
      <c r="A72" s="281">
        <f t="shared" si="31"/>
        <v>255</v>
      </c>
      <c r="B72" s="3" t="str">
        <f t="shared" si="32"/>
        <v>254 to 255</v>
      </c>
      <c r="C72" s="3">
        <f t="shared" si="33"/>
        <v>509</v>
      </c>
      <c r="D72" s="286">
        <f t="shared" si="34"/>
        <v>7.646776035094045E-3</v>
      </c>
      <c r="E72" s="3">
        <f t="shared" si="35"/>
        <v>66564</v>
      </c>
      <c r="G72" s="267">
        <f t="shared" si="41"/>
        <v>255</v>
      </c>
      <c r="H72" s="310">
        <f t="shared" si="42"/>
        <v>1.016972494741097</v>
      </c>
      <c r="I72" s="274">
        <f t="shared" si="43"/>
        <v>7.646776035094045E-3</v>
      </c>
      <c r="J72" s="275">
        <f t="shared" si="37"/>
        <v>7.7765609011360252E-3</v>
      </c>
      <c r="K72" s="274"/>
      <c r="L72" s="274"/>
      <c r="M72" s="275">
        <f t="shared" si="38"/>
        <v>0</v>
      </c>
    </row>
    <row r="73" spans="1:13" x14ac:dyDescent="0.25">
      <c r="A73" s="281">
        <f t="shared" si="31"/>
        <v>254</v>
      </c>
      <c r="B73" s="3" t="str">
        <f t="shared" si="32"/>
        <v>253 to 254</v>
      </c>
      <c r="C73" s="3">
        <f t="shared" si="33"/>
        <v>507</v>
      </c>
      <c r="D73" s="286">
        <f t="shared" si="34"/>
        <v>7.6167297638363076E-3</v>
      </c>
      <c r="E73" s="3">
        <f t="shared" si="35"/>
        <v>66564</v>
      </c>
      <c r="G73" s="267">
        <f t="shared" si="41"/>
        <v>254</v>
      </c>
      <c r="H73" s="310">
        <f t="shared" si="42"/>
        <v>1.0227186788857905</v>
      </c>
      <c r="I73" s="274">
        <f t="shared" si="43"/>
        <v>7.6167297638363076E-3</v>
      </c>
      <c r="J73" s="275">
        <f t="shared" si="37"/>
        <v>7.7897718015007477E-3</v>
      </c>
      <c r="K73" s="274"/>
      <c r="L73" s="274"/>
      <c r="M73" s="275">
        <f t="shared" si="38"/>
        <v>0</v>
      </c>
    </row>
    <row r="74" spans="1:13" x14ac:dyDescent="0.25">
      <c r="A74" s="281">
        <f t="shared" si="31"/>
        <v>253</v>
      </c>
      <c r="B74" s="3" t="str">
        <f t="shared" si="32"/>
        <v>252 to 253</v>
      </c>
      <c r="C74" s="3">
        <f t="shared" si="33"/>
        <v>505</v>
      </c>
      <c r="D74" s="286">
        <f t="shared" si="34"/>
        <v>7.5866834925785711E-3</v>
      </c>
      <c r="E74" s="3">
        <f t="shared" si="35"/>
        <v>66564</v>
      </c>
      <c r="G74" s="267">
        <f t="shared" si="41"/>
        <v>253</v>
      </c>
      <c r="H74" s="310">
        <f t="shared" si="42"/>
        <v>1.0285099310200538</v>
      </c>
      <c r="I74" s="274">
        <f t="shared" si="43"/>
        <v>7.5866834925785711E-3</v>
      </c>
      <c r="J74" s="275">
        <f t="shared" si="37"/>
        <v>7.8029793156229677E-3</v>
      </c>
      <c r="K74" s="274"/>
      <c r="L74" s="274"/>
      <c r="M74" s="275">
        <f t="shared" si="38"/>
        <v>0</v>
      </c>
    </row>
    <row r="75" spans="1:13" x14ac:dyDescent="0.25">
      <c r="A75" s="281">
        <f t="shared" si="31"/>
        <v>252</v>
      </c>
      <c r="B75" s="3" t="str">
        <f t="shared" si="32"/>
        <v>251 to 252</v>
      </c>
      <c r="C75" s="3">
        <f t="shared" si="33"/>
        <v>503</v>
      </c>
      <c r="D75" s="286">
        <f t="shared" si="34"/>
        <v>7.5566372213208338E-3</v>
      </c>
      <c r="E75" s="3">
        <f t="shared" si="35"/>
        <v>66564</v>
      </c>
      <c r="G75" s="267">
        <f t="shared" si="41"/>
        <v>252</v>
      </c>
      <c r="H75" s="310">
        <f t="shared" si="42"/>
        <v>1.0343466938749226</v>
      </c>
      <c r="I75" s="274">
        <f t="shared" si="43"/>
        <v>7.5566372213208338E-3</v>
      </c>
      <c r="J75" s="275">
        <f t="shared" si="37"/>
        <v>7.8161827266853869E-3</v>
      </c>
      <c r="K75" s="274"/>
      <c r="L75" s="274"/>
      <c r="M75" s="275">
        <f t="shared" si="38"/>
        <v>0</v>
      </c>
    </row>
    <row r="76" spans="1:13" x14ac:dyDescent="0.25">
      <c r="A76" s="281">
        <f t="shared" si="31"/>
        <v>251</v>
      </c>
      <c r="B76" s="3" t="str">
        <f t="shared" si="32"/>
        <v>250 to 251</v>
      </c>
      <c r="C76" s="3">
        <f t="shared" si="33"/>
        <v>501</v>
      </c>
      <c r="D76" s="286">
        <f t="shared" si="34"/>
        <v>7.5265909500630973E-3</v>
      </c>
      <c r="E76" s="3">
        <f t="shared" si="35"/>
        <v>66564</v>
      </c>
      <c r="G76" s="267">
        <f t="shared" si="41"/>
        <v>251</v>
      </c>
      <c r="H76" s="310">
        <f t="shared" si="42"/>
        <v>1.0402294154217602</v>
      </c>
      <c r="I76" s="274">
        <f t="shared" si="43"/>
        <v>7.5265909500630973E-3</v>
      </c>
      <c r="J76" s="275">
        <f t="shared" si="37"/>
        <v>7.8293813041028469E-3</v>
      </c>
      <c r="K76" s="274"/>
      <c r="L76" s="274"/>
      <c r="M76" s="275">
        <f t="shared" si="38"/>
        <v>0</v>
      </c>
    </row>
    <row r="77" spans="1:13" x14ac:dyDescent="0.25">
      <c r="A77" s="281">
        <f t="shared" si="31"/>
        <v>250</v>
      </c>
      <c r="B77" s="3" t="str">
        <f t="shared" si="32"/>
        <v>249 to 250</v>
      </c>
      <c r="C77" s="3">
        <f t="shared" si="33"/>
        <v>499</v>
      </c>
      <c r="D77" s="286">
        <f t="shared" si="34"/>
        <v>7.49654467880536E-3</v>
      </c>
      <c r="E77" s="3">
        <f t="shared" si="35"/>
        <v>66564</v>
      </c>
      <c r="G77" s="267">
        <f t="shared" si="41"/>
        <v>250</v>
      </c>
      <c r="H77" s="310">
        <f t="shared" si="42"/>
        <v>1.0461585489472749</v>
      </c>
      <c r="I77" s="274">
        <f t="shared" si="43"/>
        <v>7.49654467880536E-3</v>
      </c>
      <c r="J77" s="275">
        <f t="shared" si="37"/>
        <v>7.8425743032974303E-3</v>
      </c>
      <c r="K77" s="274"/>
      <c r="L77" s="274"/>
      <c r="M77" s="275">
        <f t="shared" si="38"/>
        <v>0</v>
      </c>
    </row>
    <row r="78" spans="1:13" x14ac:dyDescent="0.25">
      <c r="A78" s="281">
        <f t="shared" si="31"/>
        <v>249</v>
      </c>
      <c r="B78" s="3" t="str">
        <f t="shared" si="32"/>
        <v>248 to 249</v>
      </c>
      <c r="C78" s="3">
        <f t="shared" si="33"/>
        <v>497</v>
      </c>
      <c r="D78" s="286">
        <f t="shared" si="34"/>
        <v>7.4664984075476235E-3</v>
      </c>
      <c r="E78" s="3">
        <f t="shared" si="35"/>
        <v>66564</v>
      </c>
      <c r="G78" s="267">
        <f t="shared" si="41"/>
        <v>249</v>
      </c>
      <c r="H78" s="310">
        <f t="shared" si="42"/>
        <v>1.0521345531298849</v>
      </c>
      <c r="I78" s="274">
        <f t="shared" si="43"/>
        <v>7.4664984075476235E-3</v>
      </c>
      <c r="J78" s="275">
        <f t="shared" si="37"/>
        <v>7.8557609654701169E-3</v>
      </c>
      <c r="K78" s="274"/>
      <c r="L78" s="274"/>
      <c r="M78" s="275">
        <f t="shared" si="38"/>
        <v>0</v>
      </c>
    </row>
    <row r="79" spans="1:13" x14ac:dyDescent="0.25">
      <c r="A79" s="281">
        <f t="shared" si="31"/>
        <v>248</v>
      </c>
      <c r="B79" s="3" t="str">
        <f t="shared" si="32"/>
        <v>247 to 248</v>
      </c>
      <c r="C79" s="3">
        <f t="shared" si="33"/>
        <v>495</v>
      </c>
      <c r="D79" s="286">
        <f t="shared" si="34"/>
        <v>7.4364521362898861E-3</v>
      </c>
      <c r="E79" s="3">
        <f t="shared" si="35"/>
        <v>66564</v>
      </c>
      <c r="G79" s="267">
        <f t="shared" si="41"/>
        <v>248</v>
      </c>
      <c r="H79" s="310">
        <f t="shared" si="42"/>
        <v>1.0581578921174515</v>
      </c>
      <c r="I79" s="274">
        <f t="shared" si="43"/>
        <v>7.4364521362898861E-3</v>
      </c>
      <c r="J79" s="275">
        <f t="shared" si="37"/>
        <v>7.8689405173688245E-3</v>
      </c>
      <c r="K79" s="274"/>
      <c r="L79" s="274"/>
      <c r="M79" s="275">
        <f t="shared" si="38"/>
        <v>0</v>
      </c>
    </row>
    <row r="80" spans="1:13" x14ac:dyDescent="0.25">
      <c r="A80" s="281">
        <f t="shared" si="31"/>
        <v>247</v>
      </c>
      <c r="B80" s="3" t="str">
        <f t="shared" si="32"/>
        <v>246 to 247</v>
      </c>
      <c r="C80" s="3">
        <f t="shared" si="33"/>
        <v>493</v>
      </c>
      <c r="D80" s="286">
        <f t="shared" si="34"/>
        <v>7.4064058650321497E-3</v>
      </c>
      <c r="E80" s="3">
        <f t="shared" si="35"/>
        <v>66564</v>
      </c>
      <c r="G80" s="267">
        <f t="shared" si="41"/>
        <v>247</v>
      </c>
      <c r="H80" s="310">
        <f t="shared" si="42"/>
        <v>1.0642290356064168</v>
      </c>
      <c r="I80" s="274">
        <f t="shared" si="43"/>
        <v>7.4064058650321497E-3</v>
      </c>
      <c r="J80" s="275">
        <f t="shared" si="37"/>
        <v>7.8821121710528734E-3</v>
      </c>
      <c r="K80" s="274"/>
      <c r="L80" s="274"/>
      <c r="M80" s="275">
        <f t="shared" si="38"/>
        <v>0</v>
      </c>
    </row>
    <row r="81" spans="1:13" x14ac:dyDescent="0.25">
      <c r="A81" s="281">
        <f t="shared" si="31"/>
        <v>246</v>
      </c>
      <c r="B81" s="3" t="str">
        <f t="shared" si="32"/>
        <v>245 to 246</v>
      </c>
      <c r="C81" s="3">
        <f t="shared" si="33"/>
        <v>491</v>
      </c>
      <c r="D81" s="286">
        <f t="shared" si="34"/>
        <v>7.3763595937744123E-3</v>
      </c>
      <c r="E81" s="3">
        <f t="shared" si="35"/>
        <v>66564</v>
      </c>
      <c r="G81" s="267">
        <f t="shared" si="41"/>
        <v>246</v>
      </c>
      <c r="H81" s="310">
        <f t="shared" si="42"/>
        <v>1.0703484589223751</v>
      </c>
      <c r="I81" s="274">
        <f t="shared" si="43"/>
        <v>7.3763595937744123E-3</v>
      </c>
      <c r="J81" s="275">
        <f t="shared" si="37"/>
        <v>7.8952751236537194E-3</v>
      </c>
      <c r="K81" s="274"/>
      <c r="L81" s="274"/>
      <c r="M81" s="275">
        <f t="shared" si="38"/>
        <v>0</v>
      </c>
    </row>
    <row r="82" spans="1:13" x14ac:dyDescent="0.25">
      <c r="A82" s="281">
        <f t="shared" si="31"/>
        <v>245</v>
      </c>
      <c r="B82" s="3" t="str">
        <f t="shared" si="32"/>
        <v>244 to 245</v>
      </c>
      <c r="C82" s="3">
        <f t="shared" si="33"/>
        <v>489</v>
      </c>
      <c r="D82" s="286">
        <f t="shared" si="34"/>
        <v>7.3463133225166758E-3</v>
      </c>
      <c r="E82" s="3">
        <f t="shared" si="35"/>
        <v>66564</v>
      </c>
      <c r="G82" s="267">
        <f t="shared" si="41"/>
        <v>245</v>
      </c>
      <c r="H82" s="310">
        <f t="shared" si="42"/>
        <v>1.0765166431021169</v>
      </c>
      <c r="I82" s="274">
        <f t="shared" si="43"/>
        <v>7.3463133225166758E-3</v>
      </c>
      <c r="J82" s="275">
        <f t="shared" si="37"/>
        <v>7.908428557132011E-3</v>
      </c>
      <c r="K82" s="274"/>
      <c r="L82" s="274"/>
      <c r="M82" s="275">
        <f t="shared" si="38"/>
        <v>0</v>
      </c>
    </row>
    <row r="83" spans="1:13" x14ac:dyDescent="0.25">
      <c r="A83" s="281">
        <f t="shared" si="31"/>
        <v>244</v>
      </c>
      <c r="B83" s="3" t="str">
        <f t="shared" si="32"/>
        <v>243 to 244</v>
      </c>
      <c r="C83" s="3">
        <f t="shared" si="33"/>
        <v>487</v>
      </c>
      <c r="D83" s="286">
        <f t="shared" si="34"/>
        <v>7.3162670512589385E-3</v>
      </c>
      <c r="E83" s="3">
        <f t="shared" si="35"/>
        <v>66564</v>
      </c>
      <c r="G83" s="267">
        <f t="shared" si="41"/>
        <v>244</v>
      </c>
      <c r="H83" s="310">
        <f t="shared" si="42"/>
        <v>1.0827340749771719</v>
      </c>
      <c r="I83" s="274">
        <f t="shared" si="43"/>
        <v>7.3162670512589385E-3</v>
      </c>
      <c r="J83" s="275">
        <f t="shared" si="37"/>
        <v>7.9215716380308075E-3</v>
      </c>
      <c r="K83" s="274"/>
      <c r="L83" s="274"/>
      <c r="M83" s="275">
        <f t="shared" si="38"/>
        <v>0</v>
      </c>
    </row>
    <row r="84" spans="1:13" x14ac:dyDescent="0.25">
      <c r="A84" s="281">
        <f t="shared" si="31"/>
        <v>243</v>
      </c>
      <c r="B84" s="3" t="str">
        <f t="shared" si="32"/>
        <v>242 to 243</v>
      </c>
      <c r="C84" s="3">
        <f t="shared" si="33"/>
        <v>485</v>
      </c>
      <c r="D84" s="286">
        <f t="shared" si="34"/>
        <v>7.286220780001202E-3</v>
      </c>
      <c r="E84" s="3">
        <f t="shared" si="35"/>
        <v>66564</v>
      </c>
      <c r="G84" s="267">
        <f t="shared" si="41"/>
        <v>243</v>
      </c>
      <c r="H84" s="310">
        <f t="shared" si="42"/>
        <v>1.0890012472588948</v>
      </c>
      <c r="I84" s="274">
        <f t="shared" si="43"/>
        <v>7.286220780001202E-3</v>
      </c>
      <c r="J84" s="275">
        <f t="shared" si="37"/>
        <v>7.9347035172249863E-3</v>
      </c>
      <c r="K84" s="274"/>
      <c r="L84" s="274"/>
      <c r="M84" s="275">
        <f t="shared" si="38"/>
        <v>0</v>
      </c>
    </row>
    <row r="85" spans="1:13" x14ac:dyDescent="0.25">
      <c r="A85" s="281">
        <f t="shared" si="31"/>
        <v>242</v>
      </c>
      <c r="B85" s="3" t="str">
        <f t="shared" si="32"/>
        <v>241 to 242</v>
      </c>
      <c r="C85" s="3">
        <f t="shared" si="33"/>
        <v>483</v>
      </c>
      <c r="D85" s="286">
        <f t="shared" si="34"/>
        <v>7.2561745087434647E-3</v>
      </c>
      <c r="E85" s="3">
        <f t="shared" si="35"/>
        <v>66564</v>
      </c>
      <c r="G85" s="267">
        <f t="shared" si="41"/>
        <v>242</v>
      </c>
      <c r="H85" s="310">
        <f t="shared" si="42"/>
        <v>1.095318658625122</v>
      </c>
      <c r="I85" s="274">
        <f t="shared" si="43"/>
        <v>7.2561745087434647E-3</v>
      </c>
      <c r="J85" s="275">
        <f t="shared" si="37"/>
        <v>7.9478233296666947E-3</v>
      </c>
      <c r="K85" s="274"/>
      <c r="L85" s="274"/>
      <c r="M85" s="275">
        <f t="shared" si="38"/>
        <v>0</v>
      </c>
    </row>
    <row r="86" spans="1:13" x14ac:dyDescent="0.25">
      <c r="A86" s="281">
        <f t="shared" si="31"/>
        <v>241</v>
      </c>
      <c r="B86" s="3" t="str">
        <f t="shared" si="32"/>
        <v>240 to 241</v>
      </c>
      <c r="C86" s="3">
        <f t="shared" si="33"/>
        <v>481</v>
      </c>
      <c r="D86" s="286">
        <f t="shared" si="34"/>
        <v>7.2261282374857282E-3</v>
      </c>
      <c r="E86" s="3">
        <f t="shared" si="35"/>
        <v>66564</v>
      </c>
      <c r="G86" s="267">
        <f t="shared" si="41"/>
        <v>241</v>
      </c>
      <c r="H86" s="310">
        <f t="shared" si="42"/>
        <v>1.101686813808445</v>
      </c>
      <c r="I86" s="274">
        <f t="shared" si="43"/>
        <v>7.2261282374857282E-3</v>
      </c>
      <c r="J86" s="275">
        <f t="shared" si="37"/>
        <v>7.9609301941268862E-3</v>
      </c>
      <c r="K86" s="274"/>
      <c r="L86" s="274"/>
      <c r="M86" s="275">
        <f t="shared" si="38"/>
        <v>0</v>
      </c>
    </row>
    <row r="87" spans="1:13" x14ac:dyDescent="0.25">
      <c r="A87" s="281">
        <f t="shared" si="31"/>
        <v>240</v>
      </c>
      <c r="B87" s="3" t="str">
        <f t="shared" si="32"/>
        <v>239 to 240</v>
      </c>
      <c r="C87" s="3">
        <f t="shared" si="33"/>
        <v>479</v>
      </c>
      <c r="D87" s="286">
        <f t="shared" si="34"/>
        <v>7.1960819662279909E-3</v>
      </c>
      <c r="E87" s="3">
        <f t="shared" si="35"/>
        <v>66564</v>
      </c>
      <c r="G87" s="267">
        <f t="shared" si="41"/>
        <v>240</v>
      </c>
      <c r="H87" s="310">
        <f t="shared" si="42"/>
        <v>1.1081062236861288</v>
      </c>
      <c r="I87" s="274">
        <f t="shared" si="43"/>
        <v>7.1960819662279909E-3</v>
      </c>
      <c r="J87" s="275">
        <f t="shared" si="37"/>
        <v>7.9740232129327515E-3</v>
      </c>
      <c r="K87" s="274"/>
      <c r="L87" s="274"/>
      <c r="M87" s="275">
        <f t="shared" si="38"/>
        <v>0</v>
      </c>
    </row>
    <row r="88" spans="1:13" x14ac:dyDescent="0.25">
      <c r="A88" s="281">
        <f t="shared" si="31"/>
        <v>239</v>
      </c>
      <c r="B88" s="3" t="str">
        <f t="shared" si="32"/>
        <v>238 to 239</v>
      </c>
      <c r="C88" s="3">
        <f t="shared" si="33"/>
        <v>477</v>
      </c>
      <c r="D88" s="286">
        <f t="shared" si="34"/>
        <v>7.1660356949702544E-3</v>
      </c>
      <c r="E88" s="3">
        <f t="shared" si="35"/>
        <v>66564</v>
      </c>
      <c r="G88" s="267">
        <f t="shared" si="41"/>
        <v>239</v>
      </c>
      <c r="H88" s="310">
        <f t="shared" si="42"/>
        <v>1.1145774053717274</v>
      </c>
      <c r="I88" s="274">
        <f t="shared" si="43"/>
        <v>7.1660356949702544E-3</v>
      </c>
      <c r="J88" s="275">
        <f t="shared" si="37"/>
        <v>7.9871014717011295E-3</v>
      </c>
      <c r="K88" s="274"/>
      <c r="L88" s="274"/>
      <c r="M88" s="275">
        <f t="shared" si="38"/>
        <v>0</v>
      </c>
    </row>
    <row r="89" spans="1:13" x14ac:dyDescent="0.25">
      <c r="A89" s="281">
        <f t="shared" si="31"/>
        <v>238</v>
      </c>
      <c r="B89" s="3" t="str">
        <f t="shared" si="32"/>
        <v>237 to 238</v>
      </c>
      <c r="C89" s="3">
        <f t="shared" si="33"/>
        <v>475</v>
      </c>
      <c r="D89" s="286">
        <f t="shared" si="34"/>
        <v>7.135989423712517E-3</v>
      </c>
      <c r="E89" s="3">
        <f t="shared" si="35"/>
        <v>66564</v>
      </c>
      <c r="G89" s="267">
        <f t="shared" si="41"/>
        <v>238</v>
      </c>
      <c r="H89" s="310">
        <f t="shared" si="42"/>
        <v>1.1211008823084254</v>
      </c>
      <c r="I89" s="274">
        <f t="shared" si="43"/>
        <v>7.135989423712517E-3</v>
      </c>
      <c r="J89" s="275">
        <f t="shared" si="37"/>
        <v>8.0001640390676958E-3</v>
      </c>
      <c r="K89" s="274"/>
      <c r="L89" s="274"/>
      <c r="M89" s="275">
        <f t="shared" si="38"/>
        <v>0</v>
      </c>
    </row>
    <row r="90" spans="1:13" x14ac:dyDescent="0.25">
      <c r="A90" s="281">
        <f t="shared" si="31"/>
        <v>237</v>
      </c>
      <c r="B90" s="3" t="str">
        <f t="shared" si="32"/>
        <v>236 to 237</v>
      </c>
      <c r="C90" s="3">
        <f t="shared" si="33"/>
        <v>473</v>
      </c>
      <c r="D90" s="286">
        <f t="shared" si="34"/>
        <v>7.1059431524547806E-3</v>
      </c>
      <c r="E90" s="3">
        <f t="shared" si="35"/>
        <v>66564</v>
      </c>
      <c r="G90" s="267">
        <f t="shared" si="41"/>
        <v>237</v>
      </c>
      <c r="H90" s="310">
        <f t="shared" si="42"/>
        <v>1.1276771843641542</v>
      </c>
      <c r="I90" s="274">
        <f t="shared" si="43"/>
        <v>7.1059431524547806E-3</v>
      </c>
      <c r="J90" s="275">
        <f t="shared" si="37"/>
        <v>8.013209966411949E-3</v>
      </c>
      <c r="K90" s="274"/>
      <c r="L90" s="274"/>
      <c r="M90" s="275">
        <f t="shared" si="38"/>
        <v>0</v>
      </c>
    </row>
    <row r="91" spans="1:13" x14ac:dyDescent="0.25">
      <c r="A91" s="281">
        <f t="shared" si="31"/>
        <v>236</v>
      </c>
      <c r="B91" s="3" t="str">
        <f t="shared" si="32"/>
        <v>235 to 236</v>
      </c>
      <c r="C91" s="3">
        <f t="shared" si="33"/>
        <v>471</v>
      </c>
      <c r="D91" s="286">
        <f t="shared" si="34"/>
        <v>7.0758968811970432E-3</v>
      </c>
      <c r="E91" s="3">
        <f t="shared" si="35"/>
        <v>66564</v>
      </c>
      <c r="G91" s="267">
        <f t="shared" si="41"/>
        <v>236</v>
      </c>
      <c r="H91" s="310">
        <f t="shared" si="42"/>
        <v>1.1343068479285259</v>
      </c>
      <c r="I91" s="274">
        <f t="shared" si="43"/>
        <v>7.0758968811970432E-3</v>
      </c>
      <c r="J91" s="275">
        <f t="shared" si="37"/>
        <v>8.0262382875779057E-3</v>
      </c>
      <c r="K91" s="274"/>
      <c r="L91" s="274"/>
      <c r="M91" s="275">
        <f t="shared" si="38"/>
        <v>0</v>
      </c>
    </row>
    <row r="92" spans="1:13" x14ac:dyDescent="0.25">
      <c r="A92" s="281">
        <f t="shared" si="31"/>
        <v>235</v>
      </c>
      <c r="B92" s="3" t="str">
        <f t="shared" si="32"/>
        <v>234 to 235</v>
      </c>
      <c r="C92" s="3">
        <f t="shared" si="33"/>
        <v>469</v>
      </c>
      <c r="D92" s="286">
        <f t="shared" si="34"/>
        <v>7.0458506099393067E-3</v>
      </c>
      <c r="E92" s="3">
        <f t="shared" si="35"/>
        <v>66564</v>
      </c>
      <c r="G92" s="267">
        <f t="shared" si="41"/>
        <v>235</v>
      </c>
      <c r="H92" s="310">
        <f t="shared" si="42"/>
        <v>1.1409904160116282</v>
      </c>
      <c r="I92" s="274">
        <f t="shared" si="43"/>
        <v>7.0458506099393067E-3</v>
      </c>
      <c r="J92" s="275">
        <f t="shared" si="37"/>
        <v>8.0392480185904336E-3</v>
      </c>
      <c r="K92" s="274"/>
      <c r="L92" s="274"/>
      <c r="M92" s="275">
        <f t="shared" si="38"/>
        <v>0</v>
      </c>
    </row>
    <row r="93" spans="1:13" x14ac:dyDescent="0.25">
      <c r="A93" s="281">
        <f t="shared" si="31"/>
        <v>234</v>
      </c>
      <c r="B93" s="3" t="str">
        <f t="shared" si="32"/>
        <v>233 to 234</v>
      </c>
      <c r="C93" s="3">
        <f t="shared" si="33"/>
        <v>467</v>
      </c>
      <c r="D93" s="286">
        <f t="shared" si="34"/>
        <v>7.0158043386815694E-3</v>
      </c>
      <c r="E93" s="3">
        <f t="shared" si="35"/>
        <v>66564</v>
      </c>
      <c r="G93" s="267">
        <f t="shared" si="41"/>
        <v>234</v>
      </c>
      <c r="H93" s="310">
        <f t="shared" si="42"/>
        <v>1.1477284383447242</v>
      </c>
      <c r="I93" s="274">
        <f t="shared" si="43"/>
        <v>7.0158043386815694E-3</v>
      </c>
      <c r="J93" s="275">
        <f t="shared" si="37"/>
        <v>8.0522381573671382E-3</v>
      </c>
      <c r="K93" s="274"/>
      <c r="L93" s="274"/>
      <c r="M93" s="275">
        <f t="shared" si="38"/>
        <v>0</v>
      </c>
    </row>
    <row r="94" spans="1:13" x14ac:dyDescent="0.25">
      <c r="A94" s="281">
        <f t="shared" si="31"/>
        <v>233</v>
      </c>
      <c r="B94" s="3" t="str">
        <f t="shared" si="32"/>
        <v>232 to 233</v>
      </c>
      <c r="C94" s="3">
        <f t="shared" si="33"/>
        <v>465</v>
      </c>
      <c r="D94" s="286">
        <f t="shared" si="34"/>
        <v>6.9857580674238329E-3</v>
      </c>
      <c r="E94" s="3">
        <f t="shared" si="35"/>
        <v>66564</v>
      </c>
      <c r="G94" s="267">
        <f t="shared" si="41"/>
        <v>233</v>
      </c>
      <c r="H94" s="310">
        <f t="shared" si="42"/>
        <v>1.1545214714829097</v>
      </c>
      <c r="I94" s="274">
        <f t="shared" si="43"/>
        <v>6.9857580674238329E-3</v>
      </c>
      <c r="J94" s="275">
        <f t="shared" si="37"/>
        <v>8.0652076834257722E-3</v>
      </c>
      <c r="K94" s="274"/>
      <c r="L94" s="274"/>
      <c r="M94" s="275">
        <f t="shared" si="38"/>
        <v>0</v>
      </c>
    </row>
    <row r="95" spans="1:13" x14ac:dyDescent="0.25">
      <c r="A95" s="281">
        <f t="shared" si="31"/>
        <v>232</v>
      </c>
      <c r="B95" s="3" t="str">
        <f t="shared" si="32"/>
        <v>231 to 232</v>
      </c>
      <c r="C95" s="3">
        <f t="shared" si="33"/>
        <v>463</v>
      </c>
      <c r="D95" s="286">
        <f t="shared" si="34"/>
        <v>6.9557117961660956E-3</v>
      </c>
      <c r="E95" s="3">
        <f t="shared" si="35"/>
        <v>66564</v>
      </c>
      <c r="G95" s="267">
        <f t="shared" si="41"/>
        <v>232</v>
      </c>
      <c r="H95" s="310">
        <f t="shared" si="42"/>
        <v>1.1613700789097707</v>
      </c>
      <c r="I95" s="274">
        <f t="shared" si="43"/>
        <v>6.9557117961660956E-3</v>
      </c>
      <c r="J95" s="275">
        <f t="shared" si="37"/>
        <v>8.0781555575870408E-3</v>
      </c>
      <c r="K95" s="274"/>
      <c r="L95" s="274"/>
      <c r="M95" s="275">
        <f t="shared" si="38"/>
        <v>0</v>
      </c>
    </row>
    <row r="96" spans="1:13" x14ac:dyDescent="0.25">
      <c r="A96" s="281">
        <f t="shared" si="31"/>
        <v>231</v>
      </c>
      <c r="B96" s="3" t="str">
        <f t="shared" si="32"/>
        <v>230 to 231</v>
      </c>
      <c r="C96" s="3">
        <f t="shared" si="33"/>
        <v>461</v>
      </c>
      <c r="D96" s="286">
        <f t="shared" si="34"/>
        <v>6.9256655249083591E-3</v>
      </c>
      <c r="E96" s="3">
        <f t="shared" si="35"/>
        <v>66564</v>
      </c>
      <c r="G96" s="267">
        <f t="shared" si="41"/>
        <v>231</v>
      </c>
      <c r="H96" s="310">
        <f t="shared" si="42"/>
        <v>1.1682748311440978</v>
      </c>
      <c r="I96" s="274">
        <f t="shared" si="43"/>
        <v>6.9256655249083591E-3</v>
      </c>
      <c r="J96" s="275">
        <f t="shared" si="37"/>
        <v>8.0910807216728123E-3</v>
      </c>
      <c r="K96" s="274"/>
      <c r="L96" s="274"/>
      <c r="M96" s="275">
        <f t="shared" si="38"/>
        <v>0</v>
      </c>
    </row>
    <row r="97" spans="1:13" x14ac:dyDescent="0.25">
      <c r="A97" s="281">
        <f t="shared" si="31"/>
        <v>230</v>
      </c>
      <c r="B97" s="3" t="str">
        <f t="shared" si="32"/>
        <v>229 to 230</v>
      </c>
      <c r="C97" s="3">
        <f t="shared" si="33"/>
        <v>459</v>
      </c>
      <c r="D97" s="286">
        <f t="shared" si="34"/>
        <v>6.8956192536506217E-3</v>
      </c>
      <c r="E97" s="3">
        <f t="shared" si="35"/>
        <v>66564</v>
      </c>
      <c r="G97" s="267">
        <f t="shared" si="41"/>
        <v>230</v>
      </c>
      <c r="H97" s="310">
        <f t="shared" si="42"/>
        <v>1.1752363058487028</v>
      </c>
      <c r="I97" s="274">
        <f t="shared" si="43"/>
        <v>6.8956192536506217E-3</v>
      </c>
      <c r="J97" s="275">
        <f t="shared" si="37"/>
        <v>8.1039820981995449E-3</v>
      </c>
      <c r="K97" s="274"/>
      <c r="L97" s="274"/>
      <c r="M97" s="275">
        <f t="shared" si="38"/>
        <v>0</v>
      </c>
    </row>
    <row r="98" spans="1:13" x14ac:dyDescent="0.25">
      <c r="A98" s="281">
        <f t="shared" si="31"/>
        <v>229</v>
      </c>
      <c r="B98" s="3" t="str">
        <f t="shared" si="32"/>
        <v>228 to 229</v>
      </c>
      <c r="C98" s="3">
        <f t="shared" si="33"/>
        <v>457</v>
      </c>
      <c r="D98" s="286">
        <f t="shared" si="34"/>
        <v>6.8655729823928853E-3</v>
      </c>
      <c r="E98" s="3">
        <f t="shared" si="35"/>
        <v>66564</v>
      </c>
      <c r="G98" s="267">
        <f t="shared" si="41"/>
        <v>229</v>
      </c>
      <c r="H98" s="310">
        <f t="shared" si="42"/>
        <v>1.1822550879413958</v>
      </c>
      <c r="I98" s="274">
        <f t="shared" si="43"/>
        <v>6.8655729823928853E-3</v>
      </c>
      <c r="J98" s="275">
        <f t="shared" si="37"/>
        <v>8.1168585900669721E-3</v>
      </c>
      <c r="K98" s="274"/>
      <c r="L98" s="274"/>
      <c r="M98" s="275">
        <f t="shared" si="38"/>
        <v>0</v>
      </c>
    </row>
    <row r="99" spans="1:13" x14ac:dyDescent="0.25">
      <c r="A99" s="281">
        <f t="shared" si="31"/>
        <v>228</v>
      </c>
      <c r="B99" s="3" t="str">
        <f t="shared" si="32"/>
        <v>227 to 228</v>
      </c>
      <c r="C99" s="3">
        <f t="shared" si="33"/>
        <v>455</v>
      </c>
      <c r="D99" s="286">
        <f t="shared" si="34"/>
        <v>6.8355267111351479E-3</v>
      </c>
      <c r="E99" s="3">
        <f t="shared" si="35"/>
        <v>66564</v>
      </c>
      <c r="G99" s="267">
        <f t="shared" si="41"/>
        <v>228</v>
      </c>
      <c r="H99" s="310">
        <f t="shared" si="42"/>
        <v>1.1893317697081764</v>
      </c>
      <c r="I99" s="274">
        <f t="shared" si="43"/>
        <v>6.8355267111351479E-3</v>
      </c>
      <c r="J99" s="275">
        <f t="shared" si="37"/>
        <v>8.1297090802418762E-3</v>
      </c>
      <c r="K99" s="274"/>
      <c r="L99" s="274"/>
      <c r="M99" s="275">
        <f t="shared" si="38"/>
        <v>0</v>
      </c>
    </row>
    <row r="100" spans="1:13" x14ac:dyDescent="0.25">
      <c r="A100" s="281">
        <f t="shared" si="31"/>
        <v>227</v>
      </c>
      <c r="B100" s="3" t="str">
        <f t="shared" si="32"/>
        <v>226 to 227</v>
      </c>
      <c r="C100" s="3">
        <f t="shared" si="33"/>
        <v>453</v>
      </c>
      <c r="D100" s="286">
        <f t="shared" si="34"/>
        <v>6.8054804398774114E-3</v>
      </c>
      <c r="E100" s="3">
        <f t="shared" si="35"/>
        <v>66564</v>
      </c>
      <c r="G100" s="267">
        <f t="shared" si="41"/>
        <v>227</v>
      </c>
      <c r="H100" s="310">
        <f t="shared" si="42"/>
        <v>1.1964669509186971</v>
      </c>
      <c r="I100" s="274">
        <f t="shared" si="43"/>
        <v>6.8054804398774114E-3</v>
      </c>
      <c r="J100" s="275">
        <f t="shared" si="37"/>
        <v>8.14253243143696E-3</v>
      </c>
      <c r="K100" s="274"/>
      <c r="L100" s="274"/>
      <c r="M100" s="275">
        <f t="shared" si="38"/>
        <v>0</v>
      </c>
    </row>
    <row r="101" spans="1:13" x14ac:dyDescent="0.25">
      <c r="A101" s="281">
        <f t="shared" si="31"/>
        <v>226</v>
      </c>
      <c r="B101" s="3" t="str">
        <f t="shared" si="32"/>
        <v>225 to 226</v>
      </c>
      <c r="C101" s="3">
        <f t="shared" si="33"/>
        <v>451</v>
      </c>
      <c r="D101" s="286">
        <f t="shared" si="34"/>
        <v>6.7754341686196741E-3</v>
      </c>
      <c r="E101" s="3">
        <f t="shared" si="35"/>
        <v>66564</v>
      </c>
      <c r="G101" s="267">
        <f t="shared" si="41"/>
        <v>226</v>
      </c>
      <c r="H101" s="310">
        <f t="shared" si="42"/>
        <v>1.2036612389440511</v>
      </c>
      <c r="I101" s="274">
        <f t="shared" si="43"/>
        <v>6.7754341686196741E-3</v>
      </c>
      <c r="J101" s="275">
        <f t="shared" si="37"/>
        <v>8.1553274857846143E-3</v>
      </c>
      <c r="K101" s="274"/>
      <c r="L101" s="274"/>
      <c r="M101" s="275">
        <f t="shared" si="38"/>
        <v>0</v>
      </c>
    </row>
    <row r="102" spans="1:13" x14ac:dyDescent="0.25">
      <c r="A102" s="281">
        <f t="shared" si="31"/>
        <v>225</v>
      </c>
      <c r="B102" s="3" t="str">
        <f t="shared" si="32"/>
        <v>224 to 225</v>
      </c>
      <c r="C102" s="3">
        <f t="shared" si="33"/>
        <v>449</v>
      </c>
      <c r="D102" s="286">
        <f t="shared" si="34"/>
        <v>6.7453878973619376E-3</v>
      </c>
      <c r="E102" s="3">
        <f t="shared" si="35"/>
        <v>66564</v>
      </c>
      <c r="G102" s="267">
        <f t="shared" si="41"/>
        <v>225</v>
      </c>
      <c r="H102" s="310">
        <f t="shared" si="42"/>
        <v>1.2109152488769575</v>
      </c>
      <c r="I102" s="274">
        <f t="shared" si="43"/>
        <v>6.7453878973619376E-3</v>
      </c>
      <c r="J102" s="275">
        <f t="shared" si="37"/>
        <v>8.1680930645056469E-3</v>
      </c>
      <c r="K102" s="274"/>
      <c r="L102" s="274"/>
      <c r="M102" s="275">
        <f t="shared" si="38"/>
        <v>0</v>
      </c>
    </row>
    <row r="103" spans="1:13" x14ac:dyDescent="0.25">
      <c r="A103" s="281">
        <f t="shared" si="31"/>
        <v>224</v>
      </c>
      <c r="B103" s="3" t="str">
        <f t="shared" si="32"/>
        <v>223 to 224</v>
      </c>
      <c r="C103" s="3">
        <f t="shared" si="33"/>
        <v>447</v>
      </c>
      <c r="D103" s="286">
        <f t="shared" si="34"/>
        <v>6.7153416261042003E-3</v>
      </c>
      <c r="E103" s="3">
        <f t="shared" si="35"/>
        <v>66564</v>
      </c>
      <c r="G103" s="267">
        <f t="shared" si="41"/>
        <v>224</v>
      </c>
      <c r="H103" s="310">
        <f t="shared" si="42"/>
        <v>1.2182296036543931</v>
      </c>
      <c r="I103" s="274">
        <f t="shared" si="43"/>
        <v>6.7153416261042003E-3</v>
      </c>
      <c r="J103" s="275">
        <f t="shared" si="37"/>
        <v>8.1808279675727683E-3</v>
      </c>
      <c r="K103" s="274"/>
      <c r="L103" s="274"/>
      <c r="M103" s="275">
        <f t="shared" si="38"/>
        <v>0</v>
      </c>
    </row>
    <row r="104" spans="1:13" x14ac:dyDescent="0.25">
      <c r="A104" s="281">
        <f t="shared" si="31"/>
        <v>223</v>
      </c>
      <c r="B104" s="3" t="str">
        <f t="shared" si="32"/>
        <v>222 to 223</v>
      </c>
      <c r="C104" s="3">
        <f t="shared" si="33"/>
        <v>445</v>
      </c>
      <c r="D104" s="286">
        <f t="shared" si="34"/>
        <v>6.6852953548464638E-3</v>
      </c>
      <c r="E104" s="3">
        <f t="shared" si="35"/>
        <v>66564</v>
      </c>
      <c r="G104" s="267">
        <f t="shared" si="41"/>
        <v>223</v>
      </c>
      <c r="H104" s="310">
        <f t="shared" si="42"/>
        <v>1.2256049341827457</v>
      </c>
      <c r="I104" s="274">
        <f t="shared" si="43"/>
        <v>6.6852953548464638E-3</v>
      </c>
      <c r="J104" s="275">
        <f t="shared" si="37"/>
        <v>8.1935309733688153E-3</v>
      </c>
      <c r="K104" s="274"/>
      <c r="L104" s="274"/>
      <c r="M104" s="275">
        <f t="shared" si="38"/>
        <v>0</v>
      </c>
    </row>
    <row r="105" spans="1:13" x14ac:dyDescent="0.25">
      <c r="A105" s="281">
        <f t="shared" si="31"/>
        <v>222</v>
      </c>
      <c r="B105" s="3" t="str">
        <f t="shared" si="32"/>
        <v>221 to 222</v>
      </c>
      <c r="C105" s="3">
        <f t="shared" si="33"/>
        <v>443</v>
      </c>
      <c r="D105" s="286">
        <f t="shared" si="34"/>
        <v>6.6552490835887265E-3</v>
      </c>
      <c r="E105" s="3">
        <f t="shared" si="35"/>
        <v>66564</v>
      </c>
      <c r="G105" s="267">
        <f t="shared" si="41"/>
        <v>222</v>
      </c>
      <c r="H105" s="310">
        <f t="shared" si="42"/>
        <v>1.2330418794655469</v>
      </c>
      <c r="I105" s="274">
        <f t="shared" si="43"/>
        <v>6.6552490835887265E-3</v>
      </c>
      <c r="J105" s="275">
        <f t="shared" si="37"/>
        <v>8.2062008383396012E-3</v>
      </c>
      <c r="K105" s="274"/>
      <c r="L105" s="274"/>
      <c r="M105" s="275">
        <f t="shared" si="38"/>
        <v>0</v>
      </c>
    </row>
    <row r="106" spans="1:13" x14ac:dyDescent="0.25">
      <c r="A106" s="281">
        <f t="shared" si="31"/>
        <v>221</v>
      </c>
      <c r="B106" s="3" t="str">
        <f t="shared" si="32"/>
        <v>220 to 221</v>
      </c>
      <c r="C106" s="3">
        <f t="shared" si="33"/>
        <v>441</v>
      </c>
      <c r="D106" s="286">
        <f t="shared" si="34"/>
        <v>6.62520281233099E-3</v>
      </c>
      <c r="E106" s="3">
        <f t="shared" si="35"/>
        <v>66564</v>
      </c>
      <c r="G106" s="267">
        <f t="shared" si="41"/>
        <v>221</v>
      </c>
      <c r="H106" s="310">
        <f t="shared" si="42"/>
        <v>1.2405410867338593</v>
      </c>
      <c r="I106" s="274">
        <f t="shared" si="43"/>
        <v>6.62520281233099E-3</v>
      </c>
      <c r="J106" s="275">
        <f t="shared" si="37"/>
        <v>8.2188362966413072E-3</v>
      </c>
      <c r="K106" s="274"/>
      <c r="L106" s="274"/>
      <c r="M106" s="275">
        <f t="shared" si="38"/>
        <v>0</v>
      </c>
    </row>
    <row r="107" spans="1:13" x14ac:dyDescent="0.25">
      <c r="A107" s="281">
        <f t="shared" si="31"/>
        <v>220</v>
      </c>
      <c r="B107" s="3" t="str">
        <f t="shared" si="32"/>
        <v>219 to 220</v>
      </c>
      <c r="C107" s="3">
        <f t="shared" si="33"/>
        <v>439</v>
      </c>
      <c r="D107" s="286">
        <f t="shared" si="34"/>
        <v>6.5951565410732526E-3</v>
      </c>
      <c r="E107" s="3">
        <f t="shared" si="35"/>
        <v>66564</v>
      </c>
      <c r="G107" s="267">
        <f t="shared" si="41"/>
        <v>220</v>
      </c>
      <c r="H107" s="310">
        <f t="shared" si="42"/>
        <v>1.248103211579388</v>
      </c>
      <c r="I107" s="274">
        <f t="shared" si="43"/>
        <v>6.5951565410732526E-3</v>
      </c>
      <c r="J107" s="275">
        <f t="shared" si="37"/>
        <v>8.2314360597823336E-3</v>
      </c>
      <c r="K107" s="274"/>
      <c r="L107" s="274"/>
      <c r="M107" s="275">
        <f t="shared" si="38"/>
        <v>0</v>
      </c>
    </row>
    <row r="108" spans="1:13" x14ac:dyDescent="0.25">
      <c r="A108" s="281">
        <f t="shared" si="31"/>
        <v>219</v>
      </c>
      <c r="B108" s="3" t="str">
        <f t="shared" si="32"/>
        <v>218 to 219</v>
      </c>
      <c r="C108" s="3">
        <f t="shared" si="33"/>
        <v>437</v>
      </c>
      <c r="D108" s="286">
        <f t="shared" si="34"/>
        <v>6.5651102698155162E-3</v>
      </c>
      <c r="E108" s="3">
        <f t="shared" si="35"/>
        <v>66564</v>
      </c>
      <c r="G108" s="267">
        <f t="shared" si="41"/>
        <v>219</v>
      </c>
      <c r="H108" s="310">
        <f t="shared" si="42"/>
        <v>1.2557289180903854</v>
      </c>
      <c r="I108" s="274">
        <f t="shared" si="43"/>
        <v>6.5651102698155162E-3</v>
      </c>
      <c r="J108" s="275">
        <f t="shared" si="37"/>
        <v>8.2439988162595172E-3</v>
      </c>
      <c r="K108" s="274"/>
      <c r="L108" s="274"/>
      <c r="M108" s="275">
        <f t="shared" si="38"/>
        <v>0</v>
      </c>
    </row>
    <row r="109" spans="1:13" x14ac:dyDescent="0.25">
      <c r="A109" s="281">
        <f t="shared" si="31"/>
        <v>218</v>
      </c>
      <c r="B109" s="3" t="str">
        <f t="shared" si="32"/>
        <v>217 to 218</v>
      </c>
      <c r="C109" s="3">
        <f t="shared" si="33"/>
        <v>435</v>
      </c>
      <c r="D109" s="286">
        <f t="shared" si="34"/>
        <v>6.5350639985577788E-3</v>
      </c>
      <c r="E109" s="3">
        <f t="shared" si="35"/>
        <v>66564</v>
      </c>
      <c r="G109" s="267">
        <f t="shared" si="41"/>
        <v>218</v>
      </c>
      <c r="H109" s="310">
        <f t="shared" si="42"/>
        <v>1.2634188789904321</v>
      </c>
      <c r="I109" s="274">
        <f t="shared" si="43"/>
        <v>6.5350639985577788E-3</v>
      </c>
      <c r="J109" s="275">
        <f t="shared" si="37"/>
        <v>8.2565232311885995E-3</v>
      </c>
      <c r="K109" s="274"/>
      <c r="L109" s="274"/>
      <c r="M109" s="275">
        <f t="shared" si="38"/>
        <v>0</v>
      </c>
    </row>
    <row r="110" spans="1:13" x14ac:dyDescent="0.25">
      <c r="A110" s="281">
        <f t="shared" si="31"/>
        <v>217</v>
      </c>
      <c r="B110" s="3" t="str">
        <f t="shared" si="32"/>
        <v>216 to 217</v>
      </c>
      <c r="C110" s="3">
        <f t="shared" si="33"/>
        <v>433</v>
      </c>
      <c r="D110" s="286">
        <f t="shared" si="34"/>
        <v>6.5050177273000423E-3</v>
      </c>
      <c r="E110" s="3">
        <f t="shared" si="35"/>
        <v>66564</v>
      </c>
      <c r="G110" s="267">
        <f t="shared" si="41"/>
        <v>217</v>
      </c>
      <c r="H110" s="310">
        <f t="shared" si="42"/>
        <v>1.2711737757801629</v>
      </c>
      <c r="I110" s="274">
        <f t="shared" si="43"/>
        <v>6.5050177273000423E-3</v>
      </c>
      <c r="J110" s="275">
        <f t="shared" si="37"/>
        <v>8.2690079459288891E-3</v>
      </c>
      <c r="K110" s="274"/>
      <c r="L110" s="274"/>
      <c r="M110" s="275">
        <f t="shared" si="38"/>
        <v>0</v>
      </c>
    </row>
    <row r="111" spans="1:13" x14ac:dyDescent="0.25">
      <c r="A111" s="281">
        <f t="shared" si="31"/>
        <v>216</v>
      </c>
      <c r="B111" s="3" t="str">
        <f t="shared" si="32"/>
        <v>215 to 216</v>
      </c>
      <c r="C111" s="3">
        <f t="shared" si="33"/>
        <v>431</v>
      </c>
      <c r="D111" s="286">
        <f t="shared" si="34"/>
        <v>6.474971456042305E-3</v>
      </c>
      <c r="E111" s="3">
        <f t="shared" si="35"/>
        <v>66564</v>
      </c>
      <c r="G111" s="267">
        <f t="shared" si="41"/>
        <v>216</v>
      </c>
      <c r="H111" s="310">
        <f t="shared" si="42"/>
        <v>1.2789942988820269</v>
      </c>
      <c r="I111" s="274">
        <f t="shared" si="43"/>
        <v>6.474971456042305E-3</v>
      </c>
      <c r="J111" s="275">
        <f t="shared" si="37"/>
        <v>8.2814515777019648E-3</v>
      </c>
      <c r="K111" s="274"/>
      <c r="L111" s="274"/>
      <c r="M111" s="275">
        <f t="shared" si="38"/>
        <v>0</v>
      </c>
    </row>
    <row r="112" spans="1:13" x14ac:dyDescent="0.25">
      <c r="A112" s="281">
        <f t="shared" si="31"/>
        <v>215</v>
      </c>
      <c r="B112" s="3" t="str">
        <f t="shared" si="32"/>
        <v>214 to 215</v>
      </c>
      <c r="C112" s="3">
        <f t="shared" si="33"/>
        <v>429</v>
      </c>
      <c r="D112" s="286">
        <f t="shared" si="34"/>
        <v>6.4449251847845685E-3</v>
      </c>
      <c r="E112" s="3">
        <f t="shared" si="35"/>
        <v>66564</v>
      </c>
      <c r="G112" s="267">
        <f t="shared" si="41"/>
        <v>215</v>
      </c>
      <c r="H112" s="310">
        <f t="shared" si="42"/>
        <v>1.2868811477881617</v>
      </c>
      <c r="I112" s="274">
        <f t="shared" si="43"/>
        <v>6.4449251847845685E-3</v>
      </c>
      <c r="J112" s="275">
        <f t="shared" si="37"/>
        <v>8.2938527192043948E-3</v>
      </c>
      <c r="K112" s="274"/>
      <c r="L112" s="274"/>
      <c r="M112" s="275">
        <f t="shared" si="38"/>
        <v>0</v>
      </c>
    </row>
    <row r="113" spans="1:13" x14ac:dyDescent="0.25">
      <c r="A113" s="281">
        <f t="shared" si="31"/>
        <v>214</v>
      </c>
      <c r="B113" s="3" t="str">
        <f t="shared" si="32"/>
        <v>213 to 214</v>
      </c>
      <c r="C113" s="3">
        <f t="shared" si="33"/>
        <v>427</v>
      </c>
      <c r="D113" s="286">
        <f t="shared" si="34"/>
        <v>6.4148789135268312E-3</v>
      </c>
      <c r="E113" s="3">
        <f t="shared" si="35"/>
        <v>66564</v>
      </c>
      <c r="G113" s="267">
        <f t="shared" si="41"/>
        <v>214</v>
      </c>
      <c r="H113" s="310">
        <f t="shared" si="42"/>
        <v>1.2948350312114669</v>
      </c>
      <c r="I113" s="274">
        <f t="shared" si="43"/>
        <v>6.4148789135268312E-3</v>
      </c>
      <c r="J113" s="275">
        <f t="shared" si="37"/>
        <v>8.3062099382142946E-3</v>
      </c>
      <c r="K113" s="274"/>
      <c r="L113" s="274"/>
      <c r="M113" s="275">
        <f t="shared" si="38"/>
        <v>0</v>
      </c>
    </row>
    <row r="114" spans="1:13" x14ac:dyDescent="0.25">
      <c r="A114" s="281">
        <f t="shared" si="31"/>
        <v>213</v>
      </c>
      <c r="B114" s="3" t="str">
        <f t="shared" si="32"/>
        <v>212 to 213</v>
      </c>
      <c r="C114" s="3">
        <f t="shared" si="33"/>
        <v>425</v>
      </c>
      <c r="D114" s="286">
        <f t="shared" si="34"/>
        <v>6.3848326422690947E-3</v>
      </c>
      <c r="E114" s="3">
        <f t="shared" si="35"/>
        <v>66564</v>
      </c>
      <c r="G114" s="267">
        <f t="shared" si="41"/>
        <v>213</v>
      </c>
      <c r="H114" s="310">
        <f t="shared" si="42"/>
        <v>1.3028566672399673</v>
      </c>
      <c r="I114" s="274">
        <f t="shared" si="43"/>
        <v>6.3848326422690947E-3</v>
      </c>
      <c r="J114" s="275">
        <f t="shared" si="37"/>
        <v>8.3185217771916675E-3</v>
      </c>
      <c r="K114" s="274"/>
      <c r="L114" s="274"/>
      <c r="M114" s="275">
        <f t="shared" si="38"/>
        <v>0</v>
      </c>
    </row>
    <row r="115" spans="1:13" x14ac:dyDescent="0.25">
      <c r="A115" s="281">
        <f t="shared" si="31"/>
        <v>212</v>
      </c>
      <c r="B115" s="3" t="str">
        <f t="shared" si="32"/>
        <v>211 to 212</v>
      </c>
      <c r="C115" s="3">
        <f t="shared" si="33"/>
        <v>423</v>
      </c>
      <c r="D115" s="286">
        <f t="shared" si="34"/>
        <v>6.3547863710113573E-3</v>
      </c>
      <c r="E115" s="3">
        <f t="shared" si="35"/>
        <v>66564</v>
      </c>
      <c r="G115" s="267">
        <f t="shared" si="41"/>
        <v>212</v>
      </c>
      <c r="H115" s="310">
        <f t="shared" si="42"/>
        <v>1.3109467834945576</v>
      </c>
      <c r="I115" s="274">
        <f t="shared" si="43"/>
        <v>6.3547863710113573E-3</v>
      </c>
      <c r="J115" s="275">
        <f t="shared" si="37"/>
        <v>8.3307867528723909E-3</v>
      </c>
      <c r="K115" s="274"/>
      <c r="L115" s="274"/>
      <c r="M115" s="275">
        <f t="shared" si="38"/>
        <v>0</v>
      </c>
    </row>
    <row r="116" spans="1:13" x14ac:dyDescent="0.25">
      <c r="A116" s="281">
        <f t="shared" si="31"/>
        <v>211</v>
      </c>
      <c r="B116" s="3" t="str">
        <f t="shared" si="32"/>
        <v>210 to 211</v>
      </c>
      <c r="C116" s="3">
        <f t="shared" si="33"/>
        <v>421</v>
      </c>
      <c r="D116" s="286">
        <f t="shared" si="34"/>
        <v>6.3247400997536209E-3</v>
      </c>
      <c r="E116" s="3">
        <f t="shared" si="35"/>
        <v>66564</v>
      </c>
      <c r="G116" s="267">
        <f t="shared" si="41"/>
        <v>211</v>
      </c>
      <c r="H116" s="310">
        <f t="shared" si="42"/>
        <v>1.3191061172902236</v>
      </c>
      <c r="I116" s="274">
        <f t="shared" si="43"/>
        <v>6.3247400997536209E-3</v>
      </c>
      <c r="J116" s="275">
        <f t="shared" si="37"/>
        <v>8.3430033558557805E-3</v>
      </c>
      <c r="K116" s="274"/>
      <c r="L116" s="274"/>
      <c r="M116" s="275">
        <f t="shared" si="38"/>
        <v>0</v>
      </c>
    </row>
    <row r="117" spans="1:13" x14ac:dyDescent="0.25">
      <c r="A117" s="281">
        <f t="shared" si="31"/>
        <v>210</v>
      </c>
      <c r="B117" s="3" t="str">
        <f t="shared" si="32"/>
        <v>209 to 210</v>
      </c>
      <c r="C117" s="3">
        <f t="shared" si="33"/>
        <v>419</v>
      </c>
      <c r="D117" s="286">
        <f t="shared" si="34"/>
        <v>6.2946938284958835E-3</v>
      </c>
      <c r="E117" s="3">
        <f t="shared" si="35"/>
        <v>66564</v>
      </c>
      <c r="G117" s="267">
        <f t="shared" si="41"/>
        <v>210</v>
      </c>
      <c r="H117" s="310">
        <f t="shared" si="42"/>
        <v>1.3273354158008384</v>
      </c>
      <c r="I117" s="274">
        <f t="shared" si="43"/>
        <v>6.2946938284958835E-3</v>
      </c>
      <c r="J117" s="275">
        <f t="shared" si="37"/>
        <v>8.3551700501855539E-3</v>
      </c>
      <c r="K117" s="274"/>
      <c r="L117" s="274"/>
      <c r="M117" s="275">
        <f t="shared" si="38"/>
        <v>0</v>
      </c>
    </row>
    <row r="118" spans="1:13" x14ac:dyDescent="0.25">
      <c r="A118" s="281">
        <f t="shared" si="31"/>
        <v>209</v>
      </c>
      <c r="B118" s="3" t="str">
        <f t="shared" si="32"/>
        <v>208 to 209</v>
      </c>
      <c r="C118" s="3">
        <f t="shared" si="33"/>
        <v>417</v>
      </c>
      <c r="D118" s="286">
        <f t="shared" si="34"/>
        <v>6.264647557238147E-3</v>
      </c>
      <c r="E118" s="3">
        <f t="shared" si="35"/>
        <v>66564</v>
      </c>
      <c r="G118" s="267">
        <f t="shared" si="41"/>
        <v>209</v>
      </c>
      <c r="H118" s="310">
        <f t="shared" si="42"/>
        <v>1.3356354362276359</v>
      </c>
      <c r="I118" s="274">
        <f t="shared" si="43"/>
        <v>6.264647557238147E-3</v>
      </c>
      <c r="J118" s="275">
        <f t="shared" si="37"/>
        <v>8.3672852729241663E-3</v>
      </c>
      <c r="K118" s="274"/>
      <c r="L118" s="274"/>
      <c r="M118" s="275">
        <f t="shared" si="38"/>
        <v>0</v>
      </c>
    </row>
    <row r="119" spans="1:13" x14ac:dyDescent="0.25">
      <c r="A119" s="281">
        <f t="shared" si="31"/>
        <v>208</v>
      </c>
      <c r="B119" s="3" t="str">
        <f t="shared" si="32"/>
        <v>207 to 208</v>
      </c>
      <c r="C119" s="3">
        <f t="shared" si="33"/>
        <v>415</v>
      </c>
      <c r="D119" s="286">
        <f t="shared" si="34"/>
        <v>6.2346012859804097E-3</v>
      </c>
      <c r="E119" s="3">
        <f t="shared" si="35"/>
        <v>66564</v>
      </c>
      <c r="G119" s="267">
        <f t="shared" si="41"/>
        <v>208</v>
      </c>
      <c r="H119" s="310">
        <f t="shared" si="42"/>
        <v>1.3440069459714652</v>
      </c>
      <c r="I119" s="274">
        <f t="shared" si="43"/>
        <v>6.2346012859804097E-3</v>
      </c>
      <c r="J119" s="275">
        <f t="shared" si="37"/>
        <v>8.3793474337202998E-3</v>
      </c>
      <c r="K119" s="274"/>
      <c r="L119" s="274"/>
      <c r="M119" s="275">
        <f t="shared" si="38"/>
        <v>0</v>
      </c>
    </row>
    <row r="120" spans="1:13" x14ac:dyDescent="0.25">
      <c r="A120" s="281">
        <f t="shared" si="31"/>
        <v>207</v>
      </c>
      <c r="B120" s="3" t="str">
        <f t="shared" si="32"/>
        <v>206 to 207</v>
      </c>
      <c r="C120" s="3">
        <f t="shared" si="33"/>
        <v>413</v>
      </c>
      <c r="D120" s="286">
        <f t="shared" si="34"/>
        <v>6.2045550147226732E-3</v>
      </c>
      <c r="E120" s="3">
        <f t="shared" si="35"/>
        <v>66564</v>
      </c>
      <c r="G120" s="267">
        <f t="shared" si="41"/>
        <v>207</v>
      </c>
      <c r="H120" s="310">
        <f t="shared" si="42"/>
        <v>1.3524507228089375</v>
      </c>
      <c r="I120" s="274">
        <f t="shared" si="43"/>
        <v>6.2045550147226732E-3</v>
      </c>
      <c r="J120" s="275">
        <f t="shared" si="37"/>
        <v>8.391354914369497E-3</v>
      </c>
      <c r="K120" s="274"/>
      <c r="L120" s="274"/>
      <c r="M120" s="275">
        <f t="shared" si="38"/>
        <v>0</v>
      </c>
    </row>
    <row r="121" spans="1:13" x14ac:dyDescent="0.25">
      <c r="A121" s="281">
        <f t="shared" si="31"/>
        <v>206</v>
      </c>
      <c r="B121" s="3" t="str">
        <f t="shared" si="32"/>
        <v>205 to 206</v>
      </c>
      <c r="C121" s="3">
        <f t="shared" si="33"/>
        <v>411</v>
      </c>
      <c r="D121" s="286">
        <f t="shared" si="34"/>
        <v>6.1745087434649359E-3</v>
      </c>
      <c r="E121" s="3">
        <f t="shared" si="35"/>
        <v>66564</v>
      </c>
      <c r="G121" s="267">
        <f t="shared" si="41"/>
        <v>206</v>
      </c>
      <c r="H121" s="310">
        <f t="shared" si="42"/>
        <v>1.3609675550725766</v>
      </c>
      <c r="I121" s="274">
        <f t="shared" si="43"/>
        <v>6.1745087434649359E-3</v>
      </c>
      <c r="J121" s="275">
        <f t="shared" si="37"/>
        <v>8.4033060683677205E-3</v>
      </c>
      <c r="K121" s="274"/>
      <c r="L121" s="274"/>
      <c r="M121" s="275">
        <f t="shared" si="38"/>
        <v>0</v>
      </c>
    </row>
    <row r="122" spans="1:13" x14ac:dyDescent="0.25">
      <c r="A122" s="281">
        <f t="shared" si="31"/>
        <v>205</v>
      </c>
      <c r="B122" s="3" t="str">
        <f t="shared" si="32"/>
        <v>204 to 205</v>
      </c>
      <c r="C122" s="3">
        <f t="shared" si="33"/>
        <v>409</v>
      </c>
      <c r="D122" s="286">
        <f t="shared" si="34"/>
        <v>6.1444624722071994E-3</v>
      </c>
      <c r="E122" s="3">
        <f t="shared" si="35"/>
        <v>66564</v>
      </c>
      <c r="G122" s="267">
        <f t="shared" si="41"/>
        <v>205</v>
      </c>
      <c r="H122" s="310">
        <f t="shared" si="42"/>
        <v>1.3695582418350876</v>
      </c>
      <c r="I122" s="274">
        <f t="shared" si="43"/>
        <v>6.1444624722071994E-3</v>
      </c>
      <c r="J122" s="275">
        <f t="shared" si="37"/>
        <v>8.4151992204577683E-3</v>
      </c>
      <c r="K122" s="274"/>
      <c r="L122" s="274"/>
      <c r="M122" s="275">
        <f t="shared" si="38"/>
        <v>0</v>
      </c>
    </row>
    <row r="123" spans="1:13" x14ac:dyDescent="0.25">
      <c r="A123" s="281">
        <f t="shared" si="31"/>
        <v>204</v>
      </c>
      <c r="B123" s="3" t="str">
        <f t="shared" si="32"/>
        <v>203 to 204</v>
      </c>
      <c r="C123" s="3">
        <f t="shared" si="33"/>
        <v>407</v>
      </c>
      <c r="D123" s="286">
        <f t="shared" si="34"/>
        <v>6.1144162009494621E-3</v>
      </c>
      <c r="E123" s="3">
        <f t="shared" si="35"/>
        <v>66564</v>
      </c>
      <c r="G123" s="267">
        <f t="shared" si="41"/>
        <v>204</v>
      </c>
      <c r="H123" s="310">
        <f t="shared" si="42"/>
        <v>1.3782235930978688</v>
      </c>
      <c r="I123" s="274">
        <f t="shared" si="43"/>
        <v>6.1144162009494621E-3</v>
      </c>
      <c r="J123" s="275">
        <f t="shared" si="37"/>
        <v>8.4270326661683888E-3</v>
      </c>
      <c r="K123" s="274"/>
      <c r="L123" s="274"/>
      <c r="M123" s="275">
        <f t="shared" si="38"/>
        <v>0</v>
      </c>
    </row>
    <row r="124" spans="1:13" x14ac:dyDescent="0.25">
      <c r="A124" s="281">
        <f t="shared" si="31"/>
        <v>203</v>
      </c>
      <c r="B124" s="3" t="str">
        <f t="shared" si="32"/>
        <v>202 to 203</v>
      </c>
      <c r="C124" s="3">
        <f t="shared" si="33"/>
        <v>405</v>
      </c>
      <c r="D124" s="286">
        <f t="shared" si="34"/>
        <v>6.0843699296917256E-3</v>
      </c>
      <c r="E124" s="3">
        <f t="shared" si="35"/>
        <v>66564</v>
      </c>
      <c r="G124" s="267">
        <f t="shared" si="41"/>
        <v>203</v>
      </c>
      <c r="H124" s="310">
        <f t="shared" si="42"/>
        <v>1.3869644299838906</v>
      </c>
      <c r="I124" s="274">
        <f t="shared" si="43"/>
        <v>6.0843699296917256E-3</v>
      </c>
      <c r="J124" s="275">
        <f t="shared" si="37"/>
        <v>8.4388046713460077E-3</v>
      </c>
      <c r="K124" s="274"/>
      <c r="L124" s="274"/>
      <c r="M124" s="275">
        <f t="shared" si="38"/>
        <v>0</v>
      </c>
    </row>
    <row r="125" spans="1:13" x14ac:dyDescent="0.25">
      <c r="A125" s="281">
        <f t="shared" si="31"/>
        <v>202</v>
      </c>
      <c r="B125" s="3" t="str">
        <f t="shared" si="32"/>
        <v>201 to 202</v>
      </c>
      <c r="C125" s="3">
        <f t="shared" si="33"/>
        <v>403</v>
      </c>
      <c r="D125" s="286">
        <f t="shared" si="34"/>
        <v>6.0543236584339882E-3</v>
      </c>
      <c r="E125" s="3">
        <f t="shared" si="35"/>
        <v>66564</v>
      </c>
      <c r="G125" s="267">
        <f t="shared" si="41"/>
        <v>202</v>
      </c>
      <c r="H125" s="310">
        <f t="shared" si="42"/>
        <v>1.3957815849350652</v>
      </c>
      <c r="I125" s="274">
        <f t="shared" si="43"/>
        <v>6.0543236584339882E-3</v>
      </c>
      <c r="J125" s="275">
        <f t="shared" si="37"/>
        <v>8.4505134716788537E-3</v>
      </c>
      <c r="K125" s="274"/>
      <c r="L125" s="274"/>
      <c r="M125" s="275">
        <f t="shared" si="38"/>
        <v>0</v>
      </c>
    </row>
    <row r="126" spans="1:13" x14ac:dyDescent="0.25">
      <c r="A126" s="281">
        <f t="shared" si="31"/>
        <v>201</v>
      </c>
      <c r="B126" s="3" t="str">
        <f t="shared" si="32"/>
        <v>200 to 201</v>
      </c>
      <c r="C126" s="3">
        <f t="shared" si="33"/>
        <v>401</v>
      </c>
      <c r="D126" s="286">
        <f t="shared" si="34"/>
        <v>6.0242773871762518E-3</v>
      </c>
      <c r="E126" s="3">
        <f t="shared" si="35"/>
        <v>66564</v>
      </c>
      <c r="G126" s="267">
        <f t="shared" si="41"/>
        <v>201</v>
      </c>
      <c r="H126" s="310">
        <f t="shared" si="42"/>
        <v>1.4046759019142523</v>
      </c>
      <c r="I126" s="274">
        <f t="shared" si="43"/>
        <v>6.0242773871762518E-3</v>
      </c>
      <c r="J126" s="275">
        <f t="shared" si="37"/>
        <v>8.4621572722134372E-3</v>
      </c>
      <c r="K126" s="274"/>
      <c r="L126" s="274"/>
      <c r="M126" s="275">
        <f t="shared" si="38"/>
        <v>0</v>
      </c>
    </row>
    <row r="127" spans="1:13" x14ac:dyDescent="0.25">
      <c r="A127" s="281">
        <f t="shared" si="31"/>
        <v>200</v>
      </c>
      <c r="B127" s="3" t="str">
        <f t="shared" si="32"/>
        <v>199 to 200</v>
      </c>
      <c r="C127" s="3">
        <f t="shared" si="33"/>
        <v>399</v>
      </c>
      <c r="D127" s="286">
        <f t="shared" si="34"/>
        <v>5.9942311159185144E-3</v>
      </c>
      <c r="E127" s="3">
        <f t="shared" si="35"/>
        <v>66564</v>
      </c>
      <c r="G127" s="267">
        <f t="shared" si="41"/>
        <v>200</v>
      </c>
      <c r="H127" s="310">
        <f t="shared" si="42"/>
        <v>1.4136482366120264</v>
      </c>
      <c r="I127" s="274">
        <f t="shared" si="43"/>
        <v>5.9942311159185144E-3</v>
      </c>
      <c r="J127" s="275">
        <f t="shared" si="37"/>
        <v>8.4737342468631481E-3</v>
      </c>
      <c r="K127" s="274"/>
      <c r="L127" s="274"/>
      <c r="M127" s="275">
        <f t="shared" si="38"/>
        <v>0</v>
      </c>
    </row>
    <row r="128" spans="1:13" x14ac:dyDescent="0.25">
      <c r="A128" s="281">
        <f t="shared" si="31"/>
        <v>199</v>
      </c>
      <c r="B128" s="3" t="str">
        <f t="shared" si="32"/>
        <v>198 to 199</v>
      </c>
      <c r="C128" s="3">
        <f t="shared" si="33"/>
        <v>397</v>
      </c>
      <c r="D128" s="286">
        <f t="shared" si="34"/>
        <v>5.9641848446607779E-3</v>
      </c>
      <c r="E128" s="3">
        <f t="shared" si="35"/>
        <v>66564</v>
      </c>
      <c r="G128" s="267">
        <f t="shared" si="41"/>
        <v>199</v>
      </c>
      <c r="H128" s="310">
        <f t="shared" si="42"/>
        <v>1.4226994566583615</v>
      </c>
      <c r="I128" s="274">
        <f t="shared" si="43"/>
        <v>5.9641848446607779E-3</v>
      </c>
      <c r="J128" s="275">
        <f t="shared" si="37"/>
        <v>8.4852425379089227E-3</v>
      </c>
      <c r="K128" s="274"/>
      <c r="L128" s="274"/>
      <c r="M128" s="275">
        <f t="shared" si="38"/>
        <v>0</v>
      </c>
    </row>
    <row r="129" spans="1:13" x14ac:dyDescent="0.25">
      <c r="A129" s="281">
        <f t="shared" si="31"/>
        <v>198</v>
      </c>
      <c r="B129" s="3" t="str">
        <f t="shared" si="32"/>
        <v>197 to 198</v>
      </c>
      <c r="C129" s="3">
        <f t="shared" si="33"/>
        <v>395</v>
      </c>
      <c r="D129" s="286">
        <f t="shared" si="34"/>
        <v>5.9341385734030406E-3</v>
      </c>
      <c r="E129" s="3">
        <f t="shared" si="35"/>
        <v>66564</v>
      </c>
      <c r="G129" s="267">
        <f t="shared" si="41"/>
        <v>198</v>
      </c>
      <c r="H129" s="310">
        <f t="shared" si="42"/>
        <v>1.431830441839373</v>
      </c>
      <c r="I129" s="274">
        <f t="shared" si="43"/>
        <v>5.9341385734030406E-3</v>
      </c>
      <c r="J129" s="275">
        <f t="shared" si="37"/>
        <v>8.4966802554917419E-3</v>
      </c>
      <c r="K129" s="274"/>
      <c r="L129" s="274"/>
      <c r="M129" s="275">
        <f t="shared" si="38"/>
        <v>0</v>
      </c>
    </row>
    <row r="130" spans="1:13" x14ac:dyDescent="0.25">
      <c r="A130" s="281">
        <f t="shared" si="31"/>
        <v>197</v>
      </c>
      <c r="B130" s="3" t="str">
        <f t="shared" si="32"/>
        <v>196 to 197</v>
      </c>
      <c r="C130" s="3">
        <f t="shared" si="33"/>
        <v>393</v>
      </c>
      <c r="D130" s="286">
        <f t="shared" si="34"/>
        <v>5.9040923021453041E-3</v>
      </c>
      <c r="E130" s="3">
        <f t="shared" si="35"/>
        <v>66564</v>
      </c>
      <c r="G130" s="267">
        <f t="shared" si="41"/>
        <v>197</v>
      </c>
      <c r="H130" s="310">
        <f t="shared" si="42"/>
        <v>1.4410420843192768</v>
      </c>
      <c r="I130" s="274">
        <f t="shared" si="43"/>
        <v>5.9040923021453041E-3</v>
      </c>
      <c r="J130" s="275">
        <f t="shared" si="37"/>
        <v>8.508045477096866E-3</v>
      </c>
      <c r="K130" s="274"/>
      <c r="L130" s="274"/>
      <c r="M130" s="275">
        <f t="shared" si="38"/>
        <v>0</v>
      </c>
    </row>
    <row r="131" spans="1:13" x14ac:dyDescent="0.25">
      <c r="A131" s="281">
        <f t="shared" si="31"/>
        <v>196</v>
      </c>
      <c r="B131" s="3" t="str">
        <f t="shared" si="32"/>
        <v>195 to 196</v>
      </c>
      <c r="C131" s="3">
        <f t="shared" si="33"/>
        <v>391</v>
      </c>
      <c r="D131" s="286">
        <f t="shared" si="34"/>
        <v>5.8740460308875668E-3</v>
      </c>
      <c r="E131" s="3">
        <f t="shared" si="35"/>
        <v>66564</v>
      </c>
      <c r="G131" s="267">
        <f t="shared" si="41"/>
        <v>196</v>
      </c>
      <c r="H131" s="310">
        <f t="shared" si="42"/>
        <v>1.4503352888677234</v>
      </c>
      <c r="I131" s="274">
        <f t="shared" si="43"/>
        <v>5.8740460308875668E-3</v>
      </c>
      <c r="J131" s="275">
        <f t="shared" si="37"/>
        <v>8.5193362470296231E-3</v>
      </c>
      <c r="K131" s="274"/>
      <c r="L131" s="274"/>
      <c r="M131" s="275">
        <f t="shared" si="38"/>
        <v>0</v>
      </c>
    </row>
    <row r="132" spans="1:13" x14ac:dyDescent="0.25">
      <c r="A132" s="281">
        <f t="shared" si="31"/>
        <v>195</v>
      </c>
      <c r="B132" s="3" t="str">
        <f t="shared" si="32"/>
        <v>194 to 195</v>
      </c>
      <c r="C132" s="3">
        <f t="shared" si="33"/>
        <v>389</v>
      </c>
      <c r="D132" s="286">
        <f t="shared" si="34"/>
        <v>5.8439997596298303E-3</v>
      </c>
      <c r="E132" s="3">
        <f t="shared" si="35"/>
        <v>66564</v>
      </c>
      <c r="G132" s="267">
        <f t="shared" si="41"/>
        <v>195</v>
      </c>
      <c r="H132" s="310">
        <f t="shared" si="42"/>
        <v>1.4597109730926716</v>
      </c>
      <c r="I132" s="274">
        <f t="shared" si="43"/>
        <v>5.8439997596298303E-3</v>
      </c>
      <c r="J132" s="275">
        <f t="shared" si="37"/>
        <v>8.5305505758825981E-3</v>
      </c>
      <c r="K132" s="274"/>
      <c r="L132" s="274"/>
      <c r="M132" s="275">
        <f t="shared" si="38"/>
        <v>0</v>
      </c>
    </row>
    <row r="133" spans="1:13" x14ac:dyDescent="0.25">
      <c r="A133" s="281">
        <f t="shared" ref="A133:A196" si="44">A134+1</f>
        <v>194</v>
      </c>
      <c r="B133" s="3" t="str">
        <f t="shared" ref="B133:B196" si="45">(A133-1) &amp; " to " &amp;A133</f>
        <v>193 to 194</v>
      </c>
      <c r="C133" s="3">
        <f t="shared" ref="C133:C196" si="46">2*A133-1</f>
        <v>387</v>
      </c>
      <c r="D133" s="286">
        <f t="shared" ref="D133:D196" si="47">(2*A133-1)/E133</f>
        <v>5.8139534883720929E-3</v>
      </c>
      <c r="E133" s="3">
        <f t="shared" ref="E133:E196" si="48">E134</f>
        <v>66564</v>
      </c>
      <c r="G133" s="267">
        <f t="shared" si="41"/>
        <v>194</v>
      </c>
      <c r="H133" s="310">
        <f t="shared" si="42"/>
        <v>1.4691700676789774</v>
      </c>
      <c r="I133" s="274">
        <f t="shared" si="43"/>
        <v>5.8139534883720929E-3</v>
      </c>
      <c r="J133" s="275">
        <f t="shared" ref="J133:J196" si="49">I133*$H133</f>
        <v>8.5416864399940548E-3</v>
      </c>
      <c r="K133" s="274"/>
      <c r="L133" s="274"/>
      <c r="M133" s="275">
        <f t="shared" ref="M133:M196" si="50">K133*$H133</f>
        <v>0</v>
      </c>
    </row>
    <row r="134" spans="1:13" x14ac:dyDescent="0.25">
      <c r="A134" s="281">
        <f t="shared" si="44"/>
        <v>193</v>
      </c>
      <c r="B134" s="3" t="str">
        <f t="shared" si="45"/>
        <v>192 to 193</v>
      </c>
      <c r="C134" s="3">
        <f t="shared" si="46"/>
        <v>385</v>
      </c>
      <c r="D134" s="286">
        <f t="shared" si="47"/>
        <v>5.7839072171143565E-3</v>
      </c>
      <c r="E134" s="3">
        <f t="shared" si="48"/>
        <v>66564</v>
      </c>
      <c r="G134" s="267">
        <f t="shared" si="41"/>
        <v>193</v>
      </c>
      <c r="H134" s="310">
        <f t="shared" si="42"/>
        <v>1.4787135166328735</v>
      </c>
      <c r="I134" s="274">
        <f t="shared" si="43"/>
        <v>5.7839072171143565E-3</v>
      </c>
      <c r="J134" s="275">
        <f t="shared" si="49"/>
        <v>8.5527417808974274E-3</v>
      </c>
      <c r="K134" s="274"/>
      <c r="L134" s="274"/>
      <c r="M134" s="275">
        <f t="shared" si="50"/>
        <v>0</v>
      </c>
    </row>
    <row r="135" spans="1:13" x14ac:dyDescent="0.25">
      <c r="A135" s="281">
        <f t="shared" si="44"/>
        <v>192</v>
      </c>
      <c r="B135" s="3" t="str">
        <f t="shared" si="45"/>
        <v>191 to 192</v>
      </c>
      <c r="C135" s="3">
        <f t="shared" si="46"/>
        <v>383</v>
      </c>
      <c r="D135" s="286">
        <f t="shared" si="47"/>
        <v>5.7538609458566191E-3</v>
      </c>
      <c r="E135" s="3">
        <f t="shared" si="48"/>
        <v>66564</v>
      </c>
      <c r="G135" s="267">
        <f t="shared" ref="G135:G198" si="51">A135</f>
        <v>192</v>
      </c>
      <c r="H135" s="310">
        <f t="shared" ref="H135:H198" si="52">LOG(1+E135/A135^2,2)</f>
        <v>1.4883422775325239</v>
      </c>
      <c r="I135" s="274">
        <f t="shared" ref="I135:I198" si="53">D135</f>
        <v>5.7538609458566191E-3</v>
      </c>
      <c r="J135" s="275">
        <f t="shared" si="49"/>
        <v>8.5637145047616822E-3</v>
      </c>
      <c r="K135" s="274"/>
      <c r="L135" s="274"/>
      <c r="M135" s="275">
        <f t="shared" si="50"/>
        <v>0</v>
      </c>
    </row>
    <row r="136" spans="1:13" x14ac:dyDescent="0.25">
      <c r="A136" s="281">
        <f t="shared" si="44"/>
        <v>191</v>
      </c>
      <c r="B136" s="3" t="str">
        <f t="shared" si="45"/>
        <v>190 to 191</v>
      </c>
      <c r="C136" s="3">
        <f t="shared" si="46"/>
        <v>381</v>
      </c>
      <c r="D136" s="286">
        <f t="shared" si="47"/>
        <v>5.7238146745988826E-3</v>
      </c>
      <c r="E136" s="3">
        <f t="shared" si="48"/>
        <v>66564</v>
      </c>
      <c r="G136" s="267">
        <f t="shared" si="51"/>
        <v>191</v>
      </c>
      <c r="H136" s="310">
        <f t="shared" si="52"/>
        <v>1.4980573217848465</v>
      </c>
      <c r="I136" s="274">
        <f t="shared" si="53"/>
        <v>5.7238146745988826E-3</v>
      </c>
      <c r="J136" s="275">
        <f t="shared" si="49"/>
        <v>8.5746024818224055E-3</v>
      </c>
      <c r="K136" s="274"/>
      <c r="L136" s="274"/>
      <c r="M136" s="275">
        <f t="shared" si="50"/>
        <v>0</v>
      </c>
    </row>
    <row r="137" spans="1:13" x14ac:dyDescent="0.25">
      <c r="A137" s="281">
        <f t="shared" si="44"/>
        <v>190</v>
      </c>
      <c r="B137" s="3" t="str">
        <f t="shared" si="45"/>
        <v>189 to 190</v>
      </c>
      <c r="C137" s="3">
        <f t="shared" si="46"/>
        <v>379</v>
      </c>
      <c r="D137" s="286">
        <f t="shared" si="47"/>
        <v>5.6937684033411453E-3</v>
      </c>
      <c r="E137" s="3">
        <f t="shared" si="48"/>
        <v>66564</v>
      </c>
      <c r="G137" s="267">
        <f t="shared" si="51"/>
        <v>190</v>
      </c>
      <c r="H137" s="310">
        <f t="shared" si="52"/>
        <v>1.5078596348888065</v>
      </c>
      <c r="I137" s="274">
        <f t="shared" si="53"/>
        <v>5.6937684033411453E-3</v>
      </c>
      <c r="J137" s="275">
        <f t="shared" si="49"/>
        <v>8.5854035458034026E-3</v>
      </c>
      <c r="K137" s="274"/>
      <c r="L137" s="274"/>
      <c r="M137" s="275">
        <f t="shared" si="50"/>
        <v>0</v>
      </c>
    </row>
    <row r="138" spans="1:13" x14ac:dyDescent="0.25">
      <c r="A138" s="281">
        <f t="shared" si="44"/>
        <v>189</v>
      </c>
      <c r="B138" s="3" t="str">
        <f t="shared" si="45"/>
        <v>188 to 189</v>
      </c>
      <c r="C138" s="3">
        <f t="shared" si="46"/>
        <v>377</v>
      </c>
      <c r="D138" s="286">
        <f t="shared" si="47"/>
        <v>5.6637221320834088E-3</v>
      </c>
      <c r="E138" s="3">
        <f t="shared" si="48"/>
        <v>66564</v>
      </c>
      <c r="G138" s="267">
        <f t="shared" si="51"/>
        <v>189</v>
      </c>
      <c r="H138" s="310">
        <f t="shared" si="52"/>
        <v>1.5177502167053774</v>
      </c>
      <c r="I138" s="274">
        <f t="shared" si="53"/>
        <v>5.6637221320834088E-3</v>
      </c>
      <c r="J138" s="275">
        <f t="shared" si="49"/>
        <v>8.5961154933286363E-3</v>
      </c>
      <c r="K138" s="274"/>
      <c r="L138" s="274"/>
      <c r="M138" s="275">
        <f t="shared" si="50"/>
        <v>0</v>
      </c>
    </row>
    <row r="139" spans="1:13" x14ac:dyDescent="0.25">
      <c r="A139" s="281">
        <f t="shared" si="44"/>
        <v>188</v>
      </c>
      <c r="B139" s="3" t="str">
        <f t="shared" si="45"/>
        <v>187 to 188</v>
      </c>
      <c r="C139" s="3">
        <f t="shared" si="46"/>
        <v>375</v>
      </c>
      <c r="D139" s="286">
        <f t="shared" si="47"/>
        <v>5.6336758608256715E-3</v>
      </c>
      <c r="E139" s="3">
        <f t="shared" si="48"/>
        <v>66564</v>
      </c>
      <c r="G139" s="267">
        <f t="shared" si="51"/>
        <v>188</v>
      </c>
      <c r="H139" s="310">
        <f t="shared" si="52"/>
        <v>1.5277300817343944</v>
      </c>
      <c r="I139" s="274">
        <f t="shared" si="53"/>
        <v>5.6336758608256715E-3</v>
      </c>
      <c r="J139" s="275">
        <f t="shared" si="49"/>
        <v>8.606736083324287E-3</v>
      </c>
      <c r="K139" s="274"/>
      <c r="L139" s="274"/>
      <c r="M139" s="275">
        <f t="shared" si="50"/>
        <v>0</v>
      </c>
    </row>
    <row r="140" spans="1:13" x14ac:dyDescent="0.25">
      <c r="A140" s="281">
        <f t="shared" si="44"/>
        <v>187</v>
      </c>
      <c r="B140" s="3" t="str">
        <f t="shared" si="45"/>
        <v>186 to 187</v>
      </c>
      <c r="C140" s="3">
        <f t="shared" si="46"/>
        <v>373</v>
      </c>
      <c r="D140" s="286">
        <f t="shared" si="47"/>
        <v>5.603629589567935E-3</v>
      </c>
      <c r="E140" s="3">
        <f t="shared" si="48"/>
        <v>66564</v>
      </c>
      <c r="G140" s="267">
        <f t="shared" si="51"/>
        <v>187</v>
      </c>
      <c r="H140" s="310">
        <f t="shared" si="52"/>
        <v>1.5378002593985192</v>
      </c>
      <c r="I140" s="274">
        <f t="shared" si="53"/>
        <v>5.603629589567935E-3</v>
      </c>
      <c r="J140" s="275">
        <f t="shared" si="49"/>
        <v>8.6172630364107876E-3</v>
      </c>
      <c r="K140" s="274"/>
      <c r="L140" s="274"/>
      <c r="M140" s="275">
        <f t="shared" si="50"/>
        <v>0</v>
      </c>
    </row>
    <row r="141" spans="1:13" x14ac:dyDescent="0.25">
      <c r="A141" s="281">
        <f t="shared" si="44"/>
        <v>186</v>
      </c>
      <c r="B141" s="3" t="str">
        <f t="shared" si="45"/>
        <v>185 to 186</v>
      </c>
      <c r="C141" s="3">
        <f t="shared" si="46"/>
        <v>371</v>
      </c>
      <c r="D141" s="286">
        <f t="shared" si="47"/>
        <v>5.5735833183101977E-3</v>
      </c>
      <c r="E141" s="3">
        <f t="shared" si="48"/>
        <v>66564</v>
      </c>
      <c r="G141" s="267">
        <f t="shared" si="51"/>
        <v>186</v>
      </c>
      <c r="H141" s="310">
        <f t="shared" si="52"/>
        <v>1.5479617943345381</v>
      </c>
      <c r="I141" s="274">
        <f t="shared" si="53"/>
        <v>5.5735833183101977E-3</v>
      </c>
      <c r="J141" s="275">
        <f t="shared" si="49"/>
        <v>8.6276940342845023E-3</v>
      </c>
      <c r="K141" s="274"/>
      <c r="L141" s="274"/>
      <c r="M141" s="275">
        <f t="shared" si="50"/>
        <v>0</v>
      </c>
    </row>
    <row r="142" spans="1:13" x14ac:dyDescent="0.25">
      <c r="A142" s="281">
        <f t="shared" si="44"/>
        <v>185</v>
      </c>
      <c r="B142" s="3" t="str">
        <f t="shared" si="45"/>
        <v>184 to 185</v>
      </c>
      <c r="C142" s="3">
        <f t="shared" si="46"/>
        <v>369</v>
      </c>
      <c r="D142" s="286">
        <f t="shared" si="47"/>
        <v>5.5435370470524612E-3</v>
      </c>
      <c r="E142" s="3">
        <f t="shared" si="48"/>
        <v>66564</v>
      </c>
      <c r="G142" s="267">
        <f t="shared" si="51"/>
        <v>185</v>
      </c>
      <c r="H142" s="310">
        <f t="shared" si="52"/>
        <v>1.5582157466922544</v>
      </c>
      <c r="I142" s="274">
        <f t="shared" si="53"/>
        <v>5.5435370470524612E-3</v>
      </c>
      <c r="J142" s="275">
        <f t="shared" si="49"/>
        <v>8.6380267190890262E-3</v>
      </c>
      <c r="K142" s="274"/>
      <c r="L142" s="274"/>
      <c r="M142" s="275">
        <f t="shared" si="50"/>
        <v>0</v>
      </c>
    </row>
    <row r="143" spans="1:13" x14ac:dyDescent="0.25">
      <c r="A143" s="281">
        <f t="shared" si="44"/>
        <v>184</v>
      </c>
      <c r="B143" s="3" t="str">
        <f t="shared" si="45"/>
        <v>183 to 184</v>
      </c>
      <c r="C143" s="3">
        <f t="shared" si="46"/>
        <v>367</v>
      </c>
      <c r="D143" s="286">
        <f t="shared" si="47"/>
        <v>5.5134907757947238E-3</v>
      </c>
      <c r="E143" s="3">
        <f t="shared" si="48"/>
        <v>66564</v>
      </c>
      <c r="G143" s="267">
        <f t="shared" si="51"/>
        <v>184</v>
      </c>
      <c r="H143" s="310">
        <f t="shared" si="52"/>
        <v>1.5685631924412009</v>
      </c>
      <c r="I143" s="274">
        <f t="shared" si="53"/>
        <v>5.5134907757947238E-3</v>
      </c>
      <c r="J143" s="275">
        <f t="shared" si="49"/>
        <v>8.6482586927756847E-3</v>
      </c>
      <c r="K143" s="274"/>
      <c r="L143" s="274"/>
      <c r="M143" s="275">
        <f t="shared" si="50"/>
        <v>0</v>
      </c>
    </row>
    <row r="144" spans="1:13" x14ac:dyDescent="0.25">
      <c r="A144" s="281">
        <f t="shared" si="44"/>
        <v>183</v>
      </c>
      <c r="B144" s="3" t="str">
        <f t="shared" si="45"/>
        <v>182 to 183</v>
      </c>
      <c r="C144" s="3">
        <f t="shared" si="46"/>
        <v>365</v>
      </c>
      <c r="D144" s="286">
        <f t="shared" si="47"/>
        <v>5.4834445045369874E-3</v>
      </c>
      <c r="E144" s="3">
        <f t="shared" si="48"/>
        <v>66564</v>
      </c>
      <c r="G144" s="267">
        <f t="shared" si="51"/>
        <v>183</v>
      </c>
      <c r="H144" s="310">
        <f t="shared" si="52"/>
        <v>1.5790052236854457</v>
      </c>
      <c r="I144" s="274">
        <f t="shared" si="53"/>
        <v>5.4834445045369874E-3</v>
      </c>
      <c r="J144" s="275">
        <f t="shared" si="49"/>
        <v>8.6583875164531546E-3</v>
      </c>
      <c r="K144" s="274"/>
      <c r="L144" s="274"/>
      <c r="M144" s="275">
        <f t="shared" si="50"/>
        <v>0</v>
      </c>
    </row>
    <row r="145" spans="1:13" x14ac:dyDescent="0.25">
      <c r="A145" s="281">
        <f t="shared" si="44"/>
        <v>182</v>
      </c>
      <c r="B145" s="3" t="str">
        <f t="shared" si="45"/>
        <v>181 to 182</v>
      </c>
      <c r="C145" s="3">
        <f t="shared" si="46"/>
        <v>363</v>
      </c>
      <c r="D145" s="286">
        <f t="shared" si="47"/>
        <v>5.45339823327925E-3</v>
      </c>
      <c r="E145" s="3">
        <f t="shared" si="48"/>
        <v>66564</v>
      </c>
      <c r="G145" s="267">
        <f t="shared" si="51"/>
        <v>182</v>
      </c>
      <c r="H145" s="310">
        <f t="shared" si="52"/>
        <v>1.5895429489867585</v>
      </c>
      <c r="I145" s="274">
        <f t="shared" si="53"/>
        <v>5.45339823327925E-3</v>
      </c>
      <c r="J145" s="275">
        <f t="shared" si="49"/>
        <v>8.6684107097258784E-3</v>
      </c>
      <c r="K145" s="274"/>
      <c r="L145" s="274"/>
      <c r="M145" s="275">
        <f t="shared" si="50"/>
        <v>0</v>
      </c>
    </row>
    <row r="146" spans="1:13" x14ac:dyDescent="0.25">
      <c r="A146" s="281">
        <f t="shared" si="44"/>
        <v>181</v>
      </c>
      <c r="B146" s="3" t="str">
        <f t="shared" si="45"/>
        <v>180 to 181</v>
      </c>
      <c r="C146" s="3">
        <f t="shared" si="46"/>
        <v>361</v>
      </c>
      <c r="D146" s="286">
        <f t="shared" si="47"/>
        <v>5.4233519620215135E-3</v>
      </c>
      <c r="E146" s="3">
        <f t="shared" si="48"/>
        <v>66564</v>
      </c>
      <c r="G146" s="267">
        <f t="shared" si="51"/>
        <v>181</v>
      </c>
      <c r="H146" s="310">
        <f t="shared" si="52"/>
        <v>1.6001774936964126</v>
      </c>
      <c r="I146" s="274">
        <f t="shared" si="53"/>
        <v>5.4233519620215135E-3</v>
      </c>
      <c r="J146" s="275">
        <f t="shared" si="49"/>
        <v>8.6783257500211066E-3</v>
      </c>
      <c r="K146" s="274"/>
      <c r="L146" s="274"/>
      <c r="M146" s="275">
        <f t="shared" si="50"/>
        <v>0</v>
      </c>
    </row>
    <row r="147" spans="1:13" x14ac:dyDescent="0.25">
      <c r="A147" s="281">
        <f t="shared" si="44"/>
        <v>180</v>
      </c>
      <c r="B147" s="3" t="str">
        <f t="shared" si="45"/>
        <v>179 to 180</v>
      </c>
      <c r="C147" s="3">
        <f t="shared" si="46"/>
        <v>359</v>
      </c>
      <c r="D147" s="286">
        <f t="shared" si="47"/>
        <v>5.3933056907637762E-3</v>
      </c>
      <c r="E147" s="3">
        <f t="shared" si="48"/>
        <v>66564</v>
      </c>
      <c r="G147" s="267">
        <f t="shared" si="51"/>
        <v>180</v>
      </c>
      <c r="H147" s="310">
        <f t="shared" si="52"/>
        <v>1.610910000295916</v>
      </c>
      <c r="I147" s="274">
        <f t="shared" si="53"/>
        <v>5.3933056907637762E-3</v>
      </c>
      <c r="J147" s="275">
        <f t="shared" si="49"/>
        <v>8.68813007190424E-3</v>
      </c>
      <c r="K147" s="274"/>
      <c r="L147" s="274"/>
      <c r="M147" s="275">
        <f t="shared" si="50"/>
        <v>0</v>
      </c>
    </row>
    <row r="148" spans="1:13" x14ac:dyDescent="0.25">
      <c r="A148" s="281">
        <f t="shared" si="44"/>
        <v>179</v>
      </c>
      <c r="B148" s="3" t="str">
        <f t="shared" si="45"/>
        <v>178 to 179</v>
      </c>
      <c r="C148" s="3">
        <f t="shared" si="46"/>
        <v>357</v>
      </c>
      <c r="D148" s="286">
        <f t="shared" si="47"/>
        <v>5.3632594195060397E-3</v>
      </c>
      <c r="E148" s="3">
        <f t="shared" si="48"/>
        <v>66564</v>
      </c>
      <c r="G148" s="267">
        <f t="shared" si="51"/>
        <v>179</v>
      </c>
      <c r="H148" s="310">
        <f t="shared" si="52"/>
        <v>1.6217416287469753</v>
      </c>
      <c r="I148" s="274">
        <f t="shared" si="53"/>
        <v>5.3632594195060397E-3</v>
      </c>
      <c r="J148" s="275">
        <f t="shared" si="49"/>
        <v>8.6978210663822813E-3</v>
      </c>
      <c r="K148" s="274"/>
      <c r="L148" s="274"/>
      <c r="M148" s="275">
        <f t="shared" si="50"/>
        <v>0</v>
      </c>
    </row>
    <row r="149" spans="1:13" x14ac:dyDescent="0.25">
      <c r="A149" s="281">
        <f t="shared" si="44"/>
        <v>178</v>
      </c>
      <c r="B149" s="3" t="str">
        <f t="shared" si="45"/>
        <v>177 to 178</v>
      </c>
      <c r="C149" s="3">
        <f t="shared" si="46"/>
        <v>355</v>
      </c>
      <c r="D149" s="286">
        <f t="shared" si="47"/>
        <v>5.3332131482483024E-3</v>
      </c>
      <c r="E149" s="3">
        <f t="shared" si="48"/>
        <v>66564</v>
      </c>
      <c r="G149" s="267">
        <f t="shared" si="51"/>
        <v>178</v>
      </c>
      <c r="H149" s="310">
        <f t="shared" si="52"/>
        <v>1.632673556851002</v>
      </c>
      <c r="I149" s="274">
        <f t="shared" si="53"/>
        <v>5.3332131482483024E-3</v>
      </c>
      <c r="J149" s="275">
        <f t="shared" si="49"/>
        <v>8.7073960801950859E-3</v>
      </c>
      <c r="K149" s="274"/>
      <c r="L149" s="274"/>
      <c r="M149" s="275">
        <f t="shared" si="50"/>
        <v>0</v>
      </c>
    </row>
    <row r="150" spans="1:13" x14ac:dyDescent="0.25">
      <c r="A150" s="281">
        <f t="shared" si="44"/>
        <v>177</v>
      </c>
      <c r="B150" s="3" t="str">
        <f t="shared" si="45"/>
        <v>176 to 177</v>
      </c>
      <c r="C150" s="3">
        <f t="shared" si="46"/>
        <v>353</v>
      </c>
      <c r="D150" s="286">
        <f t="shared" si="47"/>
        <v>5.3031668769905659E-3</v>
      </c>
      <c r="E150" s="3">
        <f t="shared" si="48"/>
        <v>66564</v>
      </c>
      <c r="G150" s="267">
        <f t="shared" si="51"/>
        <v>177</v>
      </c>
      <c r="H150" s="310">
        <f t="shared" si="52"/>
        <v>1.6437069806184963</v>
      </c>
      <c r="I150" s="274">
        <f t="shared" si="53"/>
        <v>5.3031668769905659E-3</v>
      </c>
      <c r="J150" s="275">
        <f t="shared" si="49"/>
        <v>8.7168524150941836E-3</v>
      </c>
      <c r="K150" s="274"/>
      <c r="L150" s="274"/>
      <c r="M150" s="275">
        <f t="shared" si="50"/>
        <v>0</v>
      </c>
    </row>
    <row r="151" spans="1:13" x14ac:dyDescent="0.25">
      <c r="A151" s="281">
        <f t="shared" si="44"/>
        <v>176</v>
      </c>
      <c r="B151" s="3" t="str">
        <f t="shared" si="45"/>
        <v>175 to 176</v>
      </c>
      <c r="C151" s="3">
        <f t="shared" si="46"/>
        <v>351</v>
      </c>
      <c r="D151" s="286">
        <f t="shared" si="47"/>
        <v>5.2731206057328285E-3</v>
      </c>
      <c r="E151" s="3">
        <f t="shared" si="48"/>
        <v>66564</v>
      </c>
      <c r="G151" s="267">
        <f t="shared" si="51"/>
        <v>176</v>
      </c>
      <c r="H151" s="310">
        <f t="shared" si="52"/>
        <v>1.6548431146486358</v>
      </c>
      <c r="I151" s="274">
        <f t="shared" si="53"/>
        <v>5.2731206057328285E-3</v>
      </c>
      <c r="J151" s="275">
        <f t="shared" si="49"/>
        <v>8.7261873271088156E-3</v>
      </c>
      <c r="K151" s="274"/>
      <c r="L151" s="274"/>
      <c r="M151" s="275">
        <f t="shared" si="50"/>
        <v>0</v>
      </c>
    </row>
    <row r="152" spans="1:13" x14ac:dyDescent="0.25">
      <c r="A152" s="281">
        <f t="shared" si="44"/>
        <v>175</v>
      </c>
      <c r="B152" s="3" t="str">
        <f t="shared" si="45"/>
        <v>174 to 175</v>
      </c>
      <c r="C152" s="3">
        <f t="shared" si="46"/>
        <v>349</v>
      </c>
      <c r="D152" s="286">
        <f t="shared" si="47"/>
        <v>5.2430743344750921E-3</v>
      </c>
      <c r="E152" s="3">
        <f t="shared" si="48"/>
        <v>66564</v>
      </c>
      <c r="G152" s="267">
        <f t="shared" si="51"/>
        <v>175</v>
      </c>
      <c r="H152" s="310">
        <f t="shared" si="52"/>
        <v>1.6660831925194355</v>
      </c>
      <c r="I152" s="274">
        <f t="shared" si="53"/>
        <v>5.2430743344750921E-3</v>
      </c>
      <c r="J152" s="275">
        <f t="shared" si="49"/>
        <v>8.7353980257989759E-3</v>
      </c>
      <c r="K152" s="274"/>
      <c r="L152" s="274"/>
      <c r="M152" s="275">
        <f t="shared" si="50"/>
        <v>0</v>
      </c>
    </row>
    <row r="153" spans="1:13" x14ac:dyDescent="0.25">
      <c r="A153" s="281">
        <f t="shared" si="44"/>
        <v>174</v>
      </c>
      <c r="B153" s="3" t="str">
        <f t="shared" si="45"/>
        <v>173 to 174</v>
      </c>
      <c r="C153" s="3">
        <f t="shared" si="46"/>
        <v>347</v>
      </c>
      <c r="D153" s="286">
        <f t="shared" si="47"/>
        <v>5.2130280632173547E-3</v>
      </c>
      <c r="E153" s="3">
        <f t="shared" si="48"/>
        <v>66564</v>
      </c>
      <c r="G153" s="267">
        <f t="shared" si="51"/>
        <v>174</v>
      </c>
      <c r="H153" s="310">
        <f t="shared" si="52"/>
        <v>1.6774284671888422</v>
      </c>
      <c r="I153" s="274">
        <f t="shared" si="53"/>
        <v>5.2130280632173547E-3</v>
      </c>
      <c r="J153" s="275">
        <f t="shared" si="49"/>
        <v>8.7444816734951053E-3</v>
      </c>
      <c r="K153" s="274"/>
      <c r="L153" s="274"/>
      <c r="M153" s="275">
        <f t="shared" si="50"/>
        <v>0</v>
      </c>
    </row>
    <row r="154" spans="1:13" x14ac:dyDescent="0.25">
      <c r="A154" s="281">
        <f t="shared" si="44"/>
        <v>173</v>
      </c>
      <c r="B154" s="3" t="str">
        <f t="shared" si="45"/>
        <v>172 to 173</v>
      </c>
      <c r="C154" s="3">
        <f t="shared" si="46"/>
        <v>345</v>
      </c>
      <c r="D154" s="286">
        <f t="shared" si="47"/>
        <v>5.1829817919596182E-3</v>
      </c>
      <c r="E154" s="3">
        <f t="shared" si="48"/>
        <v>66564</v>
      </c>
      <c r="G154" s="267">
        <f t="shared" si="51"/>
        <v>173</v>
      </c>
      <c r="H154" s="310">
        <f t="shared" si="52"/>
        <v>1.6888802114071428</v>
      </c>
      <c r="I154" s="274">
        <f t="shared" si="53"/>
        <v>5.1829817919596182E-3</v>
      </c>
      <c r="J154" s="275">
        <f t="shared" si="49"/>
        <v>8.7534353845241317E-3</v>
      </c>
      <c r="K154" s="274"/>
      <c r="L154" s="274"/>
      <c r="M154" s="275">
        <f t="shared" si="50"/>
        <v>0</v>
      </c>
    </row>
    <row r="155" spans="1:13" x14ac:dyDescent="0.25">
      <c r="A155" s="281">
        <f t="shared" si="44"/>
        <v>172</v>
      </c>
      <c r="B155" s="3" t="str">
        <f t="shared" si="45"/>
        <v>171 to 172</v>
      </c>
      <c r="C155" s="3">
        <f t="shared" si="46"/>
        <v>343</v>
      </c>
      <c r="D155" s="286">
        <f t="shared" si="47"/>
        <v>5.1529355207018809E-3</v>
      </c>
      <c r="E155" s="3">
        <f t="shared" si="48"/>
        <v>66564</v>
      </c>
      <c r="G155" s="267">
        <f t="shared" si="51"/>
        <v>172</v>
      </c>
      <c r="H155" s="310">
        <f t="shared" si="52"/>
        <v>1.7004397181410922</v>
      </c>
      <c r="I155" s="274">
        <f t="shared" si="53"/>
        <v>5.1529355207018809E-3</v>
      </c>
      <c r="J155" s="275">
        <f t="shared" si="49"/>
        <v>8.7622562244215278E-3</v>
      </c>
      <c r="K155" s="274"/>
      <c r="L155" s="274"/>
      <c r="M155" s="275">
        <f t="shared" si="50"/>
        <v>0</v>
      </c>
    </row>
    <row r="156" spans="1:13" x14ac:dyDescent="0.25">
      <c r="A156" s="281">
        <f t="shared" si="44"/>
        <v>171</v>
      </c>
      <c r="B156" s="3" t="str">
        <f t="shared" si="45"/>
        <v>170 to 171</v>
      </c>
      <c r="C156" s="3">
        <f t="shared" si="46"/>
        <v>341</v>
      </c>
      <c r="D156" s="286">
        <f t="shared" si="47"/>
        <v>5.1228892494441436E-3</v>
      </c>
      <c r="E156" s="3">
        <f t="shared" si="48"/>
        <v>66564</v>
      </c>
      <c r="G156" s="267">
        <f t="shared" si="51"/>
        <v>171</v>
      </c>
      <c r="H156" s="310">
        <f t="shared" si="52"/>
        <v>1.7121083010101732</v>
      </c>
      <c r="I156" s="274">
        <f t="shared" si="53"/>
        <v>5.1228892494441436E-3</v>
      </c>
      <c r="J156" s="275">
        <f t="shared" si="49"/>
        <v>8.7709412091290934E-3</v>
      </c>
      <c r="K156" s="274"/>
      <c r="L156" s="274"/>
      <c r="M156" s="275">
        <f t="shared" si="50"/>
        <v>0</v>
      </c>
    </row>
    <row r="157" spans="1:13" x14ac:dyDescent="0.25">
      <c r="A157" s="281">
        <f t="shared" si="44"/>
        <v>170</v>
      </c>
      <c r="B157" s="3" t="str">
        <f t="shared" si="45"/>
        <v>169 to 170</v>
      </c>
      <c r="C157" s="3">
        <f t="shared" si="46"/>
        <v>339</v>
      </c>
      <c r="D157" s="286">
        <f t="shared" si="47"/>
        <v>5.0928429781864071E-3</v>
      </c>
      <c r="E157" s="3">
        <f t="shared" si="48"/>
        <v>66564</v>
      </c>
      <c r="G157" s="267">
        <f t="shared" si="51"/>
        <v>170</v>
      </c>
      <c r="H157" s="310">
        <f t="shared" si="52"/>
        <v>1.7238872947354205</v>
      </c>
      <c r="I157" s="274">
        <f t="shared" si="53"/>
        <v>5.0928429781864071E-3</v>
      </c>
      <c r="J157" s="275">
        <f t="shared" si="49"/>
        <v>8.7794873041780481E-3</v>
      </c>
      <c r="K157" s="274"/>
      <c r="L157" s="274"/>
      <c r="M157" s="275">
        <f t="shared" si="50"/>
        <v>0</v>
      </c>
    </row>
    <row r="158" spans="1:13" x14ac:dyDescent="0.25">
      <c r="A158" s="281">
        <f t="shared" si="44"/>
        <v>169</v>
      </c>
      <c r="B158" s="3" t="str">
        <f t="shared" si="45"/>
        <v>168 to 169</v>
      </c>
      <c r="C158" s="3">
        <f t="shared" si="46"/>
        <v>337</v>
      </c>
      <c r="D158" s="286">
        <f t="shared" si="47"/>
        <v>5.0627967069286697E-3</v>
      </c>
      <c r="E158" s="3">
        <f t="shared" si="48"/>
        <v>66564</v>
      </c>
      <c r="G158" s="267">
        <f t="shared" si="51"/>
        <v>169</v>
      </c>
      <c r="H158" s="310">
        <f t="shared" si="52"/>
        <v>1.7357780556012639</v>
      </c>
      <c r="I158" s="274">
        <f t="shared" si="53"/>
        <v>5.0627967069286697E-3</v>
      </c>
      <c r="J158" s="275">
        <f t="shared" si="49"/>
        <v>8.7878914238571273E-3</v>
      </c>
      <c r="K158" s="274"/>
      <c r="L158" s="274"/>
      <c r="M158" s="275">
        <f t="shared" si="50"/>
        <v>0</v>
      </c>
    </row>
    <row r="159" spans="1:13" x14ac:dyDescent="0.25">
      <c r="A159" s="281">
        <f t="shared" si="44"/>
        <v>168</v>
      </c>
      <c r="B159" s="3" t="str">
        <f t="shared" si="45"/>
        <v>167 to 168</v>
      </c>
      <c r="C159" s="3">
        <f t="shared" si="46"/>
        <v>335</v>
      </c>
      <c r="D159" s="286">
        <f t="shared" si="47"/>
        <v>5.0327504356709333E-3</v>
      </c>
      <c r="E159" s="3">
        <f t="shared" si="48"/>
        <v>66564</v>
      </c>
      <c r="G159" s="267">
        <f t="shared" si="51"/>
        <v>168</v>
      </c>
      <c r="H159" s="310">
        <f t="shared" si="52"/>
        <v>1.7477819619308546</v>
      </c>
      <c r="I159" s="274">
        <f t="shared" si="53"/>
        <v>5.0327504356709333E-3</v>
      </c>
      <c r="J159" s="275">
        <f t="shared" si="49"/>
        <v>8.7961504303653067E-3</v>
      </c>
      <c r="K159" s="274"/>
      <c r="L159" s="274"/>
      <c r="M159" s="275">
        <f t="shared" si="50"/>
        <v>0</v>
      </c>
    </row>
    <row r="160" spans="1:13" x14ac:dyDescent="0.25">
      <c r="A160" s="281">
        <f t="shared" si="44"/>
        <v>167</v>
      </c>
      <c r="B160" s="3" t="str">
        <f t="shared" si="45"/>
        <v>166 to 167</v>
      </c>
      <c r="C160" s="3">
        <f t="shared" si="46"/>
        <v>333</v>
      </c>
      <c r="D160" s="286">
        <f t="shared" si="47"/>
        <v>5.0027041644131959E-3</v>
      </c>
      <c r="E160" s="3">
        <f t="shared" si="48"/>
        <v>66564</v>
      </c>
      <c r="G160" s="267">
        <f t="shared" si="51"/>
        <v>167</v>
      </c>
      <c r="H160" s="310">
        <f t="shared" si="52"/>
        <v>1.7599004145753712</v>
      </c>
      <c r="I160" s="274">
        <f t="shared" si="53"/>
        <v>5.0027041644131959E-3</v>
      </c>
      <c r="J160" s="275">
        <f t="shared" si="49"/>
        <v>8.8042611329487187E-3</v>
      </c>
      <c r="K160" s="274"/>
      <c r="L160" s="274"/>
      <c r="M160" s="275">
        <f t="shared" si="50"/>
        <v>0</v>
      </c>
    </row>
    <row r="161" spans="1:13" x14ac:dyDescent="0.25">
      <c r="A161" s="281">
        <f t="shared" si="44"/>
        <v>166</v>
      </c>
      <c r="B161" s="3" t="str">
        <f t="shared" si="45"/>
        <v>165 to 166</v>
      </c>
      <c r="C161" s="3">
        <f t="shared" si="46"/>
        <v>331</v>
      </c>
      <c r="D161" s="286">
        <f t="shared" si="47"/>
        <v>4.9726578931554594E-3</v>
      </c>
      <c r="E161" s="3">
        <f t="shared" si="48"/>
        <v>66564</v>
      </c>
      <c r="G161" s="267">
        <f t="shared" si="51"/>
        <v>166</v>
      </c>
      <c r="H161" s="310">
        <f t="shared" si="52"/>
        <v>1.7721348374178103</v>
      </c>
      <c r="I161" s="274">
        <f t="shared" si="53"/>
        <v>4.9726578931554594E-3</v>
      </c>
      <c r="J161" s="275">
        <f t="shared" si="49"/>
        <v>8.8122202870214404E-3</v>
      </c>
      <c r="K161" s="274"/>
      <c r="L161" s="274"/>
      <c r="M161" s="275">
        <f t="shared" si="50"/>
        <v>0</v>
      </c>
    </row>
    <row r="162" spans="1:13" x14ac:dyDescent="0.25">
      <c r="A162" s="281">
        <f t="shared" si="44"/>
        <v>165</v>
      </c>
      <c r="B162" s="3" t="str">
        <f t="shared" si="45"/>
        <v>164 to 165</v>
      </c>
      <c r="C162" s="3">
        <f t="shared" si="46"/>
        <v>329</v>
      </c>
      <c r="D162" s="286">
        <f t="shared" si="47"/>
        <v>4.9426116218977221E-3</v>
      </c>
      <c r="E162" s="3">
        <f t="shared" si="48"/>
        <v>66564</v>
      </c>
      <c r="G162" s="267">
        <f t="shared" si="51"/>
        <v>165</v>
      </c>
      <c r="H162" s="310">
        <f t="shared" si="52"/>
        <v>1.7844866778918018</v>
      </c>
      <c r="I162" s="274">
        <f t="shared" si="53"/>
        <v>4.9426116218977221E-3</v>
      </c>
      <c r="J162" s="275">
        <f t="shared" si="49"/>
        <v>8.8200245932696774E-3</v>
      </c>
      <c r="K162" s="274"/>
      <c r="L162" s="274"/>
      <c r="M162" s="275">
        <f t="shared" si="50"/>
        <v>0</v>
      </c>
    </row>
    <row r="163" spans="1:13" x14ac:dyDescent="0.25">
      <c r="A163" s="281">
        <f t="shared" si="44"/>
        <v>164</v>
      </c>
      <c r="B163" s="3" t="str">
        <f t="shared" si="45"/>
        <v>163 to 164</v>
      </c>
      <c r="C163" s="3">
        <f t="shared" si="46"/>
        <v>327</v>
      </c>
      <c r="D163" s="286">
        <f t="shared" si="47"/>
        <v>4.9125653506399856E-3</v>
      </c>
      <c r="E163" s="3">
        <f t="shared" si="48"/>
        <v>66564</v>
      </c>
      <c r="G163" s="267">
        <f t="shared" si="51"/>
        <v>164</v>
      </c>
      <c r="H163" s="310">
        <f t="shared" si="52"/>
        <v>1.7969574075159946</v>
      </c>
      <c r="I163" s="274">
        <f t="shared" si="53"/>
        <v>4.9125653506399856E-3</v>
      </c>
      <c r="J163" s="275">
        <f t="shared" si="49"/>
        <v>8.8276706967389314E-3</v>
      </c>
      <c r="K163" s="274"/>
      <c r="L163" s="274"/>
      <c r="M163" s="275">
        <f t="shared" si="50"/>
        <v>0</v>
      </c>
    </row>
    <row r="164" spans="1:13" x14ac:dyDescent="0.25">
      <c r="A164" s="281">
        <f t="shared" si="44"/>
        <v>163</v>
      </c>
      <c r="B164" s="3" t="str">
        <f t="shared" si="45"/>
        <v>162 to 163</v>
      </c>
      <c r="C164" s="3">
        <f t="shared" si="46"/>
        <v>325</v>
      </c>
      <c r="D164" s="286">
        <f t="shared" si="47"/>
        <v>4.8825190793822483E-3</v>
      </c>
      <c r="E164" s="3">
        <f t="shared" si="48"/>
        <v>66564</v>
      </c>
      <c r="G164" s="267">
        <f t="shared" si="51"/>
        <v>163</v>
      </c>
      <c r="H164" s="310">
        <f t="shared" si="52"/>
        <v>1.8095485224446035</v>
      </c>
      <c r="I164" s="274">
        <f t="shared" si="53"/>
        <v>4.8825190793822483E-3</v>
      </c>
      <c r="J164" s="275">
        <f t="shared" si="49"/>
        <v>8.8351551859037324E-3</v>
      </c>
      <c r="K164" s="274"/>
      <c r="L164" s="274"/>
      <c r="M164" s="275">
        <f t="shared" si="50"/>
        <v>0</v>
      </c>
    </row>
    <row r="165" spans="1:13" x14ac:dyDescent="0.25">
      <c r="A165" s="281">
        <f t="shared" si="44"/>
        <v>162</v>
      </c>
      <c r="B165" s="3" t="str">
        <f t="shared" si="45"/>
        <v>161 to 162</v>
      </c>
      <c r="C165" s="3">
        <f t="shared" si="46"/>
        <v>323</v>
      </c>
      <c r="D165" s="286">
        <f t="shared" si="47"/>
        <v>4.8524728081245118E-3</v>
      </c>
      <c r="E165" s="3">
        <f t="shared" si="48"/>
        <v>66564</v>
      </c>
      <c r="G165" s="267">
        <f t="shared" si="51"/>
        <v>162</v>
      </c>
      <c r="H165" s="310">
        <f t="shared" si="52"/>
        <v>1.8222615440347141</v>
      </c>
      <c r="I165" s="274">
        <f t="shared" si="53"/>
        <v>4.8524728081245118E-3</v>
      </c>
      <c r="J165" s="275">
        <f t="shared" si="49"/>
        <v>8.8424745917194385E-3</v>
      </c>
      <c r="K165" s="274"/>
      <c r="L165" s="274"/>
      <c r="M165" s="275">
        <f t="shared" si="50"/>
        <v>0</v>
      </c>
    </row>
    <row r="166" spans="1:13" x14ac:dyDescent="0.25">
      <c r="A166" s="281">
        <f t="shared" si="44"/>
        <v>161</v>
      </c>
      <c r="B166" s="3" t="str">
        <f t="shared" si="45"/>
        <v>160 to 161</v>
      </c>
      <c r="C166" s="3">
        <f t="shared" si="46"/>
        <v>321</v>
      </c>
      <c r="D166" s="286">
        <f t="shared" si="47"/>
        <v>4.8224265368667744E-3</v>
      </c>
      <c r="E166" s="3">
        <f t="shared" si="48"/>
        <v>66564</v>
      </c>
      <c r="G166" s="267">
        <f t="shared" si="51"/>
        <v>161</v>
      </c>
      <c r="H166" s="310">
        <f t="shared" si="52"/>
        <v>1.8350980194309798</v>
      </c>
      <c r="I166" s="274">
        <f t="shared" si="53"/>
        <v>4.8224265368667744E-3</v>
      </c>
      <c r="J166" s="275">
        <f t="shared" si="49"/>
        <v>8.8496253866556171E-3</v>
      </c>
      <c r="K166" s="274"/>
      <c r="L166" s="274"/>
      <c r="M166" s="275">
        <f t="shared" si="50"/>
        <v>0</v>
      </c>
    </row>
    <row r="167" spans="1:13" x14ac:dyDescent="0.25">
      <c r="A167" s="281">
        <f t="shared" si="44"/>
        <v>160</v>
      </c>
      <c r="B167" s="3" t="str">
        <f t="shared" si="45"/>
        <v>159 to 160</v>
      </c>
      <c r="C167" s="3">
        <f t="shared" si="46"/>
        <v>319</v>
      </c>
      <c r="D167" s="286">
        <f t="shared" si="47"/>
        <v>4.792380265609038E-3</v>
      </c>
      <c r="E167" s="3">
        <f t="shared" si="48"/>
        <v>66564</v>
      </c>
      <c r="G167" s="267">
        <f t="shared" si="51"/>
        <v>160</v>
      </c>
      <c r="H167" s="310">
        <f t="shared" si="52"/>
        <v>1.8480595221683749</v>
      </c>
      <c r="I167" s="274">
        <f t="shared" si="53"/>
        <v>4.792380265609038E-3</v>
      </c>
      <c r="J167" s="275">
        <f t="shared" si="49"/>
        <v>8.856603983710588E-3</v>
      </c>
      <c r="K167" s="274"/>
      <c r="L167" s="274"/>
      <c r="M167" s="275">
        <f t="shared" si="50"/>
        <v>0</v>
      </c>
    </row>
    <row r="168" spans="1:13" x14ac:dyDescent="0.25">
      <c r="A168" s="281">
        <f t="shared" si="44"/>
        <v>159</v>
      </c>
      <c r="B168" s="3" t="str">
        <f t="shared" si="45"/>
        <v>158 to 159</v>
      </c>
      <c r="C168" s="3">
        <f t="shared" si="46"/>
        <v>317</v>
      </c>
      <c r="D168" s="286">
        <f t="shared" si="47"/>
        <v>4.7623339943513006E-3</v>
      </c>
      <c r="E168" s="3">
        <f t="shared" si="48"/>
        <v>66564</v>
      </c>
      <c r="G168" s="267">
        <f t="shared" si="51"/>
        <v>159</v>
      </c>
      <c r="H168" s="310">
        <f t="shared" si="52"/>
        <v>1.8611476527936832</v>
      </c>
      <c r="I168" s="274">
        <f t="shared" si="53"/>
        <v>4.7623339943513006E-3</v>
      </c>
      <c r="J168" s="275">
        <f t="shared" si="49"/>
        <v>8.8634067354064882E-3</v>
      </c>
      <c r="K168" s="274"/>
      <c r="L168" s="274"/>
      <c r="M168" s="275">
        <f t="shared" si="50"/>
        <v>0</v>
      </c>
    </row>
    <row r="169" spans="1:13" x14ac:dyDescent="0.25">
      <c r="A169" s="281">
        <f t="shared" si="44"/>
        <v>158</v>
      </c>
      <c r="B169" s="3" t="str">
        <f t="shared" si="45"/>
        <v>157 to 158</v>
      </c>
      <c r="C169" s="3">
        <f t="shared" si="46"/>
        <v>315</v>
      </c>
      <c r="D169" s="286">
        <f t="shared" si="47"/>
        <v>4.7322877230935641E-3</v>
      </c>
      <c r="E169" s="3">
        <f t="shared" si="48"/>
        <v>66564</v>
      </c>
      <c r="G169" s="267">
        <f t="shared" si="51"/>
        <v>158</v>
      </c>
      <c r="H169" s="310">
        <f t="shared" si="52"/>
        <v>1.8743640395064507</v>
      </c>
      <c r="I169" s="274">
        <f t="shared" si="53"/>
        <v>4.7322877230935641E-3</v>
      </c>
      <c r="J169" s="275">
        <f t="shared" si="49"/>
        <v>8.8700299327644366E-3</v>
      </c>
      <c r="K169" s="274"/>
      <c r="L169" s="274"/>
      <c r="M169" s="275">
        <f t="shared" si="50"/>
        <v>0</v>
      </c>
    </row>
    <row r="170" spans="1:13" x14ac:dyDescent="0.25">
      <c r="A170" s="281">
        <f t="shared" si="44"/>
        <v>157</v>
      </c>
      <c r="B170" s="3" t="str">
        <f t="shared" si="45"/>
        <v>156 to 157</v>
      </c>
      <c r="C170" s="3">
        <f t="shared" si="46"/>
        <v>313</v>
      </c>
      <c r="D170" s="286">
        <f t="shared" si="47"/>
        <v>4.7022414518358268E-3</v>
      </c>
      <c r="E170" s="3">
        <f t="shared" si="48"/>
        <v>66564</v>
      </c>
      <c r="G170" s="267">
        <f t="shared" si="51"/>
        <v>157</v>
      </c>
      <c r="H170" s="310">
        <f t="shared" si="52"/>
        <v>1.8877103388201486</v>
      </c>
      <c r="I170" s="274">
        <f t="shared" si="53"/>
        <v>4.7022414518358268E-3</v>
      </c>
      <c r="J170" s="275">
        <f t="shared" si="49"/>
        <v>8.8764698042591555E-3</v>
      </c>
      <c r="K170" s="274"/>
      <c r="L170" s="274"/>
      <c r="M170" s="275">
        <f t="shared" si="50"/>
        <v>0</v>
      </c>
    </row>
    <row r="171" spans="1:13" x14ac:dyDescent="0.25">
      <c r="A171" s="281">
        <f t="shared" si="44"/>
        <v>156</v>
      </c>
      <c r="B171" s="3" t="str">
        <f t="shared" si="45"/>
        <v>155 to 156</v>
      </c>
      <c r="C171" s="3">
        <f t="shared" si="46"/>
        <v>311</v>
      </c>
      <c r="D171" s="286">
        <f t="shared" si="47"/>
        <v>4.6721951805780903E-3</v>
      </c>
      <c r="E171" s="3">
        <f t="shared" si="48"/>
        <v>66564</v>
      </c>
      <c r="G171" s="267">
        <f t="shared" si="51"/>
        <v>156</v>
      </c>
      <c r="H171" s="310">
        <f t="shared" si="52"/>
        <v>1.9011882362443351</v>
      </c>
      <c r="I171" s="274">
        <f t="shared" si="53"/>
        <v>4.6721951805780903E-3</v>
      </c>
      <c r="J171" s="275">
        <f t="shared" si="49"/>
        <v>8.8827225147525418E-3</v>
      </c>
      <c r="K171" s="274"/>
      <c r="L171" s="274"/>
      <c r="M171" s="275">
        <f t="shared" si="50"/>
        <v>0</v>
      </c>
    </row>
    <row r="172" spans="1:13" x14ac:dyDescent="0.25">
      <c r="A172" s="281">
        <f t="shared" si="44"/>
        <v>155</v>
      </c>
      <c r="B172" s="3" t="str">
        <f t="shared" si="45"/>
        <v>154 to 155</v>
      </c>
      <c r="C172" s="3">
        <f t="shared" si="46"/>
        <v>309</v>
      </c>
      <c r="D172" s="286">
        <f t="shared" si="47"/>
        <v>4.642148909320353E-3</v>
      </c>
      <c r="E172" s="3">
        <f t="shared" si="48"/>
        <v>66564</v>
      </c>
      <c r="G172" s="267">
        <f t="shared" si="51"/>
        <v>155</v>
      </c>
      <c r="H172" s="310">
        <f t="shared" si="52"/>
        <v>1.9147994469886345</v>
      </c>
      <c r="I172" s="274">
        <f t="shared" si="53"/>
        <v>4.642148909320353E-3</v>
      </c>
      <c r="J172" s="275">
        <f t="shared" si="49"/>
        <v>8.8887841644055051E-3</v>
      </c>
      <c r="K172" s="274"/>
      <c r="L172" s="274"/>
      <c r="M172" s="275">
        <f t="shared" si="50"/>
        <v>0</v>
      </c>
    </row>
    <row r="173" spans="1:13" x14ac:dyDescent="0.25">
      <c r="A173" s="281">
        <f t="shared" si="44"/>
        <v>154</v>
      </c>
      <c r="B173" s="3" t="str">
        <f t="shared" si="45"/>
        <v>153 to 154</v>
      </c>
      <c r="C173" s="3">
        <f t="shared" si="46"/>
        <v>307</v>
      </c>
      <c r="D173" s="286">
        <f t="shared" si="47"/>
        <v>4.6121026380626165E-3</v>
      </c>
      <c r="E173" s="3">
        <f t="shared" si="48"/>
        <v>66564</v>
      </c>
      <c r="G173" s="267">
        <f t="shared" si="51"/>
        <v>154</v>
      </c>
      <c r="H173" s="310">
        <f t="shared" si="52"/>
        <v>1.928545716689396</v>
      </c>
      <c r="I173" s="274">
        <f t="shared" si="53"/>
        <v>4.6121026380626165E-3</v>
      </c>
      <c r="J173" s="275">
        <f t="shared" si="49"/>
        <v>8.8946507875675221E-3</v>
      </c>
      <c r="K173" s="274"/>
      <c r="L173" s="274"/>
      <c r="M173" s="275">
        <f t="shared" si="50"/>
        <v>0</v>
      </c>
    </row>
    <row r="174" spans="1:13" x14ac:dyDescent="0.25">
      <c r="A174" s="281">
        <f t="shared" si="44"/>
        <v>153</v>
      </c>
      <c r="B174" s="3" t="str">
        <f t="shared" si="45"/>
        <v>152 to 153</v>
      </c>
      <c r="C174" s="3">
        <f t="shared" si="46"/>
        <v>305</v>
      </c>
      <c r="D174" s="286">
        <f t="shared" si="47"/>
        <v>4.5820563668048792E-3</v>
      </c>
      <c r="E174" s="3">
        <f t="shared" si="48"/>
        <v>66564</v>
      </c>
      <c r="G174" s="267">
        <f t="shared" si="51"/>
        <v>153</v>
      </c>
      <c r="H174" s="310">
        <f t="shared" si="52"/>
        <v>1.9424288221599277</v>
      </c>
      <c r="I174" s="274">
        <f t="shared" si="53"/>
        <v>4.5820563668048792E-3</v>
      </c>
      <c r="J174" s="275">
        <f t="shared" si="49"/>
        <v>8.9003183516431997E-3</v>
      </c>
      <c r="K174" s="274"/>
      <c r="L174" s="274"/>
      <c r="M174" s="275">
        <f t="shared" si="50"/>
        <v>0</v>
      </c>
    </row>
    <row r="175" spans="1:13" x14ac:dyDescent="0.25">
      <c r="A175" s="281">
        <f t="shared" si="44"/>
        <v>152</v>
      </c>
      <c r="B175" s="3" t="str">
        <f t="shared" si="45"/>
        <v>151 to 152</v>
      </c>
      <c r="C175" s="3">
        <f t="shared" si="46"/>
        <v>303</v>
      </c>
      <c r="D175" s="286">
        <f t="shared" si="47"/>
        <v>4.5520100955471427E-3</v>
      </c>
      <c r="E175" s="3">
        <f t="shared" si="48"/>
        <v>66564</v>
      </c>
      <c r="G175" s="267">
        <f t="shared" si="51"/>
        <v>152</v>
      </c>
      <c r="H175" s="310">
        <f t="shared" si="52"/>
        <v>1.9564505721652485</v>
      </c>
      <c r="I175" s="274">
        <f t="shared" si="53"/>
        <v>4.5520100955471427E-3</v>
      </c>
      <c r="J175" s="275">
        <f t="shared" si="49"/>
        <v>8.9057827559351956E-3</v>
      </c>
      <c r="K175" s="274"/>
      <c r="L175" s="274"/>
      <c r="M175" s="275">
        <f t="shared" si="50"/>
        <v>0</v>
      </c>
    </row>
    <row r="176" spans="1:13" x14ac:dyDescent="0.25">
      <c r="A176" s="281">
        <f t="shared" si="44"/>
        <v>151</v>
      </c>
      <c r="B176" s="3" t="str">
        <f t="shared" si="45"/>
        <v>150 to 151</v>
      </c>
      <c r="C176" s="3">
        <f t="shared" si="46"/>
        <v>301</v>
      </c>
      <c r="D176" s="286">
        <f t="shared" si="47"/>
        <v>4.5219638242894053E-3</v>
      </c>
      <c r="E176" s="3">
        <f t="shared" si="48"/>
        <v>66564</v>
      </c>
      <c r="G176" s="267">
        <f t="shared" si="51"/>
        <v>151</v>
      </c>
      <c r="H176" s="310">
        <f t="shared" si="52"/>
        <v>1.9706128082223389</v>
      </c>
      <c r="I176" s="274">
        <f t="shared" si="53"/>
        <v>4.5219638242894053E-3</v>
      </c>
      <c r="J176" s="275">
        <f t="shared" si="49"/>
        <v>8.9110398304627723E-3</v>
      </c>
      <c r="K176" s="274"/>
      <c r="L176" s="274"/>
      <c r="M176" s="275">
        <f t="shared" si="50"/>
        <v>0</v>
      </c>
    </row>
    <row r="177" spans="1:13" x14ac:dyDescent="0.25">
      <c r="A177" s="281">
        <f t="shared" si="44"/>
        <v>150</v>
      </c>
      <c r="B177" s="3" t="str">
        <f t="shared" si="45"/>
        <v>149 to 150</v>
      </c>
      <c r="C177" s="3">
        <f t="shared" si="46"/>
        <v>299</v>
      </c>
      <c r="D177" s="286">
        <f t="shared" si="47"/>
        <v>4.4919175530316689E-3</v>
      </c>
      <c r="E177" s="3">
        <f t="shared" si="48"/>
        <v>66564</v>
      </c>
      <c r="G177" s="267">
        <f t="shared" si="51"/>
        <v>150</v>
      </c>
      <c r="H177" s="310">
        <f t="shared" si="52"/>
        <v>1.9849174054269205</v>
      </c>
      <c r="I177" s="274">
        <f t="shared" si="53"/>
        <v>4.4919175530316689E-3</v>
      </c>
      <c r="J177" s="275">
        <f t="shared" si="49"/>
        <v>8.9160853347552624E-3</v>
      </c>
      <c r="K177" s="274"/>
      <c r="L177" s="274"/>
      <c r="M177" s="275">
        <f t="shared" si="50"/>
        <v>0</v>
      </c>
    </row>
    <row r="178" spans="1:13" x14ac:dyDescent="0.25">
      <c r="A178" s="281">
        <f t="shared" si="44"/>
        <v>149</v>
      </c>
      <c r="B178" s="3" t="str">
        <f t="shared" si="45"/>
        <v>148 to 149</v>
      </c>
      <c r="C178" s="3">
        <f t="shared" si="46"/>
        <v>297</v>
      </c>
      <c r="D178" s="286">
        <f t="shared" si="47"/>
        <v>4.4618712817739315E-3</v>
      </c>
      <c r="E178" s="3">
        <f t="shared" si="48"/>
        <v>66564</v>
      </c>
      <c r="G178" s="267">
        <f t="shared" si="51"/>
        <v>149</v>
      </c>
      <c r="H178" s="310">
        <f t="shared" si="52"/>
        <v>1.9993662733078479</v>
      </c>
      <c r="I178" s="274">
        <f t="shared" si="53"/>
        <v>4.4618712817739315E-3</v>
      </c>
      <c r="J178" s="275">
        <f t="shared" si="49"/>
        <v>8.9209149566196553E-3</v>
      </c>
      <c r="K178" s="274"/>
      <c r="L178" s="274"/>
      <c r="M178" s="275">
        <f t="shared" si="50"/>
        <v>0</v>
      </c>
    </row>
    <row r="179" spans="1:13" x14ac:dyDescent="0.25">
      <c r="A179" s="281">
        <f t="shared" si="44"/>
        <v>148</v>
      </c>
      <c r="B179" s="3" t="str">
        <f t="shared" si="45"/>
        <v>147 to 148</v>
      </c>
      <c r="C179" s="3">
        <f t="shared" si="46"/>
        <v>295</v>
      </c>
      <c r="D179" s="286">
        <f t="shared" si="47"/>
        <v>4.431825010516195E-3</v>
      </c>
      <c r="E179" s="3">
        <f t="shared" si="48"/>
        <v>66564</v>
      </c>
      <c r="G179" s="267">
        <f t="shared" si="51"/>
        <v>148</v>
      </c>
      <c r="H179" s="310">
        <f t="shared" si="52"/>
        <v>2.0139613567102352</v>
      </c>
      <c r="I179" s="274">
        <f t="shared" si="53"/>
        <v>4.431825010516195E-3</v>
      </c>
      <c r="J179" s="275">
        <f t="shared" si="49"/>
        <v>8.9255243108815486E-3</v>
      </c>
      <c r="K179" s="274"/>
      <c r="L179" s="274"/>
      <c r="M179" s="275">
        <f t="shared" si="50"/>
        <v>0</v>
      </c>
    </row>
    <row r="180" spans="1:13" x14ac:dyDescent="0.25">
      <c r="A180" s="281">
        <f t="shared" si="44"/>
        <v>147</v>
      </c>
      <c r="B180" s="3" t="str">
        <f t="shared" si="45"/>
        <v>146 to 147</v>
      </c>
      <c r="C180" s="3">
        <f t="shared" si="46"/>
        <v>293</v>
      </c>
      <c r="D180" s="286">
        <f t="shared" si="47"/>
        <v>4.4017787392584577E-3</v>
      </c>
      <c r="E180" s="3">
        <f t="shared" si="48"/>
        <v>66564</v>
      </c>
      <c r="G180" s="267">
        <f t="shared" si="51"/>
        <v>147</v>
      </c>
      <c r="H180" s="310">
        <f t="shared" si="52"/>
        <v>2.0287046367085062</v>
      </c>
      <c r="I180" s="274">
        <f t="shared" si="53"/>
        <v>4.4017787392584577E-3</v>
      </c>
      <c r="J180" s="275">
        <f t="shared" si="49"/>
        <v>8.9299089380985557E-3</v>
      </c>
      <c r="K180" s="274"/>
      <c r="L180" s="274"/>
      <c r="M180" s="275">
        <f t="shared" si="50"/>
        <v>0</v>
      </c>
    </row>
    <row r="181" spans="1:13" x14ac:dyDescent="0.25">
      <c r="A181" s="281">
        <f t="shared" si="44"/>
        <v>146</v>
      </c>
      <c r="B181" s="3" t="str">
        <f t="shared" si="45"/>
        <v>145 to 146</v>
      </c>
      <c r="C181" s="3">
        <f t="shared" si="46"/>
        <v>291</v>
      </c>
      <c r="D181" s="286">
        <f t="shared" si="47"/>
        <v>4.3717324680007212E-3</v>
      </c>
      <c r="E181" s="3">
        <f t="shared" si="48"/>
        <v>66564</v>
      </c>
      <c r="G181" s="267">
        <f t="shared" si="51"/>
        <v>146</v>
      </c>
      <c r="H181" s="310">
        <f t="shared" si="52"/>
        <v>2.0435981315506044</v>
      </c>
      <c r="I181" s="274">
        <f t="shared" si="53"/>
        <v>4.3717324680007212E-3</v>
      </c>
      <c r="J181" s="275">
        <f t="shared" si="49"/>
        <v>8.9340643032453856E-3</v>
      </c>
      <c r="K181" s="274"/>
      <c r="L181" s="274"/>
      <c r="M181" s="275">
        <f t="shared" si="50"/>
        <v>0</v>
      </c>
    </row>
    <row r="182" spans="1:13" x14ac:dyDescent="0.25">
      <c r="A182" s="281">
        <f t="shared" si="44"/>
        <v>145</v>
      </c>
      <c r="B182" s="3" t="str">
        <f t="shared" si="45"/>
        <v>144 to 145</v>
      </c>
      <c r="C182" s="3">
        <f t="shared" si="46"/>
        <v>289</v>
      </c>
      <c r="D182" s="286">
        <f t="shared" si="47"/>
        <v>4.3416861967429839E-3</v>
      </c>
      <c r="E182" s="3">
        <f t="shared" si="48"/>
        <v>66564</v>
      </c>
      <c r="G182" s="267">
        <f t="shared" si="51"/>
        <v>145</v>
      </c>
      <c r="H182" s="310">
        <f t="shared" si="52"/>
        <v>2.0586438976346702</v>
      </c>
      <c r="I182" s="274">
        <f t="shared" si="53"/>
        <v>4.3416861967429839E-3</v>
      </c>
      <c r="J182" s="275">
        <f t="shared" si="49"/>
        <v>8.9379857943696229E-3</v>
      </c>
      <c r="K182" s="274"/>
      <c r="L182" s="274"/>
      <c r="M182" s="275">
        <f t="shared" si="50"/>
        <v>0</v>
      </c>
    </row>
    <row r="183" spans="1:13" x14ac:dyDescent="0.25">
      <c r="A183" s="281">
        <f t="shared" si="44"/>
        <v>144</v>
      </c>
      <c r="B183" s="3" t="str">
        <f t="shared" si="45"/>
        <v>143 to 144</v>
      </c>
      <c r="C183" s="3">
        <f t="shared" si="46"/>
        <v>287</v>
      </c>
      <c r="D183" s="286">
        <f t="shared" si="47"/>
        <v>4.3116399254852474E-3</v>
      </c>
      <c r="E183" s="3">
        <f t="shared" si="48"/>
        <v>66564</v>
      </c>
      <c r="G183" s="267">
        <f t="shared" si="51"/>
        <v>144</v>
      </c>
      <c r="H183" s="310">
        <f t="shared" si="52"/>
        <v>2.07384403051954</v>
      </c>
      <c r="I183" s="274">
        <f t="shared" si="53"/>
        <v>4.3116399254852474E-3</v>
      </c>
      <c r="J183" s="275">
        <f t="shared" si="49"/>
        <v>8.9416687212172941E-3</v>
      </c>
      <c r="K183" s="274"/>
      <c r="L183" s="274"/>
      <c r="M183" s="275">
        <f t="shared" si="50"/>
        <v>0</v>
      </c>
    </row>
    <row r="184" spans="1:13" x14ac:dyDescent="0.25">
      <c r="A184" s="281">
        <f t="shared" si="44"/>
        <v>143</v>
      </c>
      <c r="B184" s="3" t="str">
        <f t="shared" si="45"/>
        <v>142 to 143</v>
      </c>
      <c r="C184" s="3">
        <f t="shared" si="46"/>
        <v>285</v>
      </c>
      <c r="D184" s="286">
        <f t="shared" si="47"/>
        <v>4.28159365422751E-3</v>
      </c>
      <c r="E184" s="3">
        <f t="shared" si="48"/>
        <v>66564</v>
      </c>
      <c r="G184" s="267">
        <f t="shared" si="51"/>
        <v>143</v>
      </c>
      <c r="H184" s="310">
        <f t="shared" si="52"/>
        <v>2.0892006659705062</v>
      </c>
      <c r="I184" s="274">
        <f t="shared" si="53"/>
        <v>4.28159365422751E-3</v>
      </c>
      <c r="J184" s="275">
        <f t="shared" si="49"/>
        <v>8.9451083138272075E-3</v>
      </c>
      <c r="K184" s="274"/>
      <c r="L184" s="274"/>
      <c r="M184" s="275">
        <f t="shared" si="50"/>
        <v>0</v>
      </c>
    </row>
    <row r="185" spans="1:13" x14ac:dyDescent="0.25">
      <c r="A185" s="281">
        <f t="shared" si="44"/>
        <v>142</v>
      </c>
      <c r="B185" s="3" t="str">
        <f t="shared" si="45"/>
        <v>141 to 142</v>
      </c>
      <c r="C185" s="3">
        <f t="shared" si="46"/>
        <v>283</v>
      </c>
      <c r="D185" s="286">
        <f t="shared" si="47"/>
        <v>4.2515473829697736E-3</v>
      </c>
      <c r="E185" s="3">
        <f t="shared" si="48"/>
        <v>66564</v>
      </c>
      <c r="G185" s="267">
        <f t="shared" si="51"/>
        <v>142</v>
      </c>
      <c r="H185" s="310">
        <f t="shared" si="52"/>
        <v>2.1047159810418332</v>
      </c>
      <c r="I185" s="274">
        <f t="shared" si="53"/>
        <v>4.2515473829697736E-3</v>
      </c>
      <c r="J185" s="275">
        <f t="shared" si="49"/>
        <v>8.9482997210930653E-3</v>
      </c>
      <c r="K185" s="274"/>
      <c r="L185" s="274"/>
      <c r="M185" s="275">
        <f t="shared" si="50"/>
        <v>0</v>
      </c>
    </row>
    <row r="186" spans="1:13" x14ac:dyDescent="0.25">
      <c r="A186" s="281">
        <f t="shared" si="44"/>
        <v>141</v>
      </c>
      <c r="B186" s="3" t="str">
        <f t="shared" si="45"/>
        <v>140 to 141</v>
      </c>
      <c r="C186" s="3">
        <f t="shared" si="46"/>
        <v>281</v>
      </c>
      <c r="D186" s="286">
        <f t="shared" si="47"/>
        <v>4.2215011117120362E-3</v>
      </c>
      <c r="E186" s="3">
        <f t="shared" si="48"/>
        <v>66564</v>
      </c>
      <c r="G186" s="267">
        <f t="shared" si="51"/>
        <v>141</v>
      </c>
      <c r="H186" s="310">
        <f t="shared" si="52"/>
        <v>2.1203921951976148</v>
      </c>
      <c r="I186" s="274">
        <f t="shared" si="53"/>
        <v>4.2215011117120362E-3</v>
      </c>
      <c r="J186" s="275">
        <f t="shared" si="49"/>
        <v>8.9512380092922565E-3</v>
      </c>
      <c r="K186" s="274"/>
      <c r="L186" s="274"/>
      <c r="M186" s="275">
        <f t="shared" si="50"/>
        <v>0</v>
      </c>
    </row>
    <row r="187" spans="1:13" x14ac:dyDescent="0.25">
      <c r="A187" s="281">
        <f t="shared" si="44"/>
        <v>140</v>
      </c>
      <c r="B187" s="3" t="str">
        <f t="shared" si="45"/>
        <v>139 to 140</v>
      </c>
      <c r="C187" s="3">
        <f t="shared" si="46"/>
        <v>279</v>
      </c>
      <c r="D187" s="286">
        <f t="shared" si="47"/>
        <v>4.1914548404542997E-3</v>
      </c>
      <c r="E187" s="3">
        <f t="shared" si="48"/>
        <v>66564</v>
      </c>
      <c r="G187" s="267">
        <f t="shared" si="51"/>
        <v>140</v>
      </c>
      <c r="H187" s="310">
        <f t="shared" si="52"/>
        <v>2.136231571472611</v>
      </c>
      <c r="I187" s="274">
        <f t="shared" si="53"/>
        <v>4.1914548404542997E-3</v>
      </c>
      <c r="J187" s="275">
        <f t="shared" si="49"/>
        <v>8.9539181605801706E-3</v>
      </c>
      <c r="K187" s="274"/>
      <c r="L187" s="274"/>
      <c r="M187" s="275">
        <f t="shared" si="50"/>
        <v>0</v>
      </c>
    </row>
    <row r="188" spans="1:13" x14ac:dyDescent="0.25">
      <c r="A188" s="281">
        <f t="shared" si="44"/>
        <v>139</v>
      </c>
      <c r="B188" s="3" t="str">
        <f t="shared" si="45"/>
        <v>138 to 139</v>
      </c>
      <c r="C188" s="3">
        <f t="shared" si="46"/>
        <v>277</v>
      </c>
      <c r="D188" s="286">
        <f t="shared" si="47"/>
        <v>4.1614085691965624E-3</v>
      </c>
      <c r="E188" s="3">
        <f t="shared" si="48"/>
        <v>66564</v>
      </c>
      <c r="G188" s="267">
        <f t="shared" si="51"/>
        <v>139</v>
      </c>
      <c r="H188" s="310">
        <f t="shared" si="52"/>
        <v>2.1522364176748257</v>
      </c>
      <c r="I188" s="274">
        <f t="shared" si="53"/>
        <v>4.1614085691965624E-3</v>
      </c>
      <c r="J188" s="275">
        <f t="shared" si="49"/>
        <v>8.9563350714489311E-3</v>
      </c>
      <c r="K188" s="274"/>
      <c r="L188" s="274"/>
      <c r="M188" s="275">
        <f t="shared" si="50"/>
        <v>0</v>
      </c>
    </row>
    <row r="189" spans="1:13" x14ac:dyDescent="0.25">
      <c r="A189" s="281">
        <f t="shared" si="44"/>
        <v>138</v>
      </c>
      <c r="B189" s="3" t="str">
        <f t="shared" si="45"/>
        <v>137 to 138</v>
      </c>
      <c r="C189" s="3">
        <f t="shared" si="46"/>
        <v>275</v>
      </c>
      <c r="D189" s="286">
        <f t="shared" si="47"/>
        <v>4.1313622979388259E-3</v>
      </c>
      <c r="E189" s="3">
        <f t="shared" si="48"/>
        <v>66564</v>
      </c>
      <c r="G189" s="267">
        <f t="shared" si="51"/>
        <v>138</v>
      </c>
      <c r="H189" s="310">
        <f t="shared" si="52"/>
        <v>2.16840908763163</v>
      </c>
      <c r="I189" s="274">
        <f t="shared" si="53"/>
        <v>4.1313622979388259E-3</v>
      </c>
      <c r="J189" s="275">
        <f t="shared" si="49"/>
        <v>8.958483551149244E-3</v>
      </c>
      <c r="K189" s="274"/>
      <c r="L189" s="274"/>
      <c r="M189" s="275">
        <f t="shared" si="50"/>
        <v>0</v>
      </c>
    </row>
    <row r="190" spans="1:13" x14ac:dyDescent="0.25">
      <c r="A190" s="281">
        <f t="shared" si="44"/>
        <v>137</v>
      </c>
      <c r="B190" s="3" t="str">
        <f t="shared" si="45"/>
        <v>136 to 137</v>
      </c>
      <c r="C190" s="3">
        <f t="shared" si="46"/>
        <v>273</v>
      </c>
      <c r="D190" s="286">
        <f t="shared" si="47"/>
        <v>4.1013160266810886E-3</v>
      </c>
      <c r="E190" s="3">
        <f t="shared" si="48"/>
        <v>66564</v>
      </c>
      <c r="G190" s="267">
        <f t="shared" si="51"/>
        <v>137</v>
      </c>
      <c r="H190" s="310">
        <f t="shared" si="52"/>
        <v>2.1847519824813673</v>
      </c>
      <c r="I190" s="274">
        <f t="shared" si="53"/>
        <v>4.1013160266810886E-3</v>
      </c>
      <c r="J190" s="275">
        <f t="shared" si="49"/>
        <v>8.9603583200741129E-3</v>
      </c>
      <c r="K190" s="274"/>
      <c r="L190" s="274"/>
      <c r="M190" s="275">
        <f t="shared" si="50"/>
        <v>0</v>
      </c>
    </row>
    <row r="191" spans="1:13" x14ac:dyDescent="0.25">
      <c r="A191" s="281">
        <f t="shared" si="44"/>
        <v>136</v>
      </c>
      <c r="B191" s="3" t="str">
        <f t="shared" si="45"/>
        <v>135 to 136</v>
      </c>
      <c r="C191" s="3">
        <f t="shared" si="46"/>
        <v>271</v>
      </c>
      <c r="D191" s="286">
        <f t="shared" si="47"/>
        <v>4.0712697554233521E-3</v>
      </c>
      <c r="E191" s="3">
        <f t="shared" si="48"/>
        <v>66564</v>
      </c>
      <c r="G191" s="267">
        <f t="shared" si="51"/>
        <v>136</v>
      </c>
      <c r="H191" s="310">
        <f t="shared" si="52"/>
        <v>2.2012675520124469</v>
      </c>
      <c r="I191" s="274">
        <f t="shared" si="53"/>
        <v>4.0712697554233521E-3</v>
      </c>
      <c r="J191" s="275">
        <f t="shared" si="49"/>
        <v>8.9619540081030766E-3</v>
      </c>
      <c r="K191" s="274"/>
      <c r="L191" s="274"/>
      <c r="M191" s="275">
        <f t="shared" si="50"/>
        <v>0</v>
      </c>
    </row>
    <row r="192" spans="1:13" x14ac:dyDescent="0.25">
      <c r="A192" s="281">
        <f t="shared" si="44"/>
        <v>135</v>
      </c>
      <c r="B192" s="3" t="str">
        <f t="shared" si="45"/>
        <v>134 to 135</v>
      </c>
      <c r="C192" s="3">
        <f t="shared" si="46"/>
        <v>269</v>
      </c>
      <c r="D192" s="286">
        <f t="shared" si="47"/>
        <v>4.0412234841656148E-3</v>
      </c>
      <c r="E192" s="3">
        <f t="shared" si="48"/>
        <v>66564</v>
      </c>
      <c r="G192" s="267">
        <f t="shared" si="51"/>
        <v>135</v>
      </c>
      <c r="H192" s="310">
        <f t="shared" si="52"/>
        <v>2.2179582960520632</v>
      </c>
      <c r="I192" s="274">
        <f t="shared" si="53"/>
        <v>4.0412234841656148E-3</v>
      </c>
      <c r="J192" s="275">
        <f t="shared" si="49"/>
        <v>8.9632651529055491E-3</v>
      </c>
      <c r="K192" s="274"/>
      <c r="L192" s="274"/>
      <c r="M192" s="275">
        <f t="shared" si="50"/>
        <v>0</v>
      </c>
    </row>
    <row r="193" spans="1:13" x14ac:dyDescent="0.25">
      <c r="A193" s="281">
        <f t="shared" si="44"/>
        <v>134</v>
      </c>
      <c r="B193" s="3" t="str">
        <f t="shared" si="45"/>
        <v>133 to 134</v>
      </c>
      <c r="C193" s="3">
        <f t="shared" si="46"/>
        <v>267</v>
      </c>
      <c r="D193" s="286">
        <f t="shared" si="47"/>
        <v>4.0111772129078783E-3</v>
      </c>
      <c r="E193" s="3">
        <f t="shared" si="48"/>
        <v>66564</v>
      </c>
      <c r="G193" s="267">
        <f t="shared" si="51"/>
        <v>134</v>
      </c>
      <c r="H193" s="310">
        <f t="shared" si="52"/>
        <v>2.234826765906758</v>
      </c>
      <c r="I193" s="274">
        <f t="shared" si="53"/>
        <v>4.0111772129078783E-3</v>
      </c>
      <c r="J193" s="275">
        <f t="shared" si="49"/>
        <v>8.9642861982017971E-3</v>
      </c>
      <c r="K193" s="274"/>
      <c r="L193" s="274"/>
      <c r="M193" s="275">
        <f t="shared" si="50"/>
        <v>0</v>
      </c>
    </row>
    <row r="194" spans="1:13" x14ac:dyDescent="0.25">
      <c r="A194" s="281">
        <f t="shared" si="44"/>
        <v>133</v>
      </c>
      <c r="B194" s="3" t="str">
        <f t="shared" si="45"/>
        <v>132 to 133</v>
      </c>
      <c r="C194" s="3">
        <f t="shared" si="46"/>
        <v>265</v>
      </c>
      <c r="D194" s="286">
        <f t="shared" si="47"/>
        <v>3.9811309416501409E-3</v>
      </c>
      <c r="E194" s="3">
        <f t="shared" si="48"/>
        <v>66564</v>
      </c>
      <c r="G194" s="267">
        <f t="shared" si="51"/>
        <v>133</v>
      </c>
      <c r="H194" s="310">
        <f t="shared" si="52"/>
        <v>2.2518755658571936</v>
      </c>
      <c r="I194" s="274">
        <f t="shared" si="53"/>
        <v>3.9811309416501409E-3</v>
      </c>
      <c r="J194" s="275">
        <f t="shared" si="49"/>
        <v>8.9650114919799934E-3</v>
      </c>
      <c r="K194" s="274"/>
      <c r="L194" s="274"/>
      <c r="M194" s="275">
        <f t="shared" si="50"/>
        <v>0</v>
      </c>
    </row>
    <row r="195" spans="1:13" x14ac:dyDescent="0.25">
      <c r="A195" s="281">
        <f t="shared" si="44"/>
        <v>132</v>
      </c>
      <c r="B195" s="3" t="str">
        <f t="shared" si="45"/>
        <v>131 to 132</v>
      </c>
      <c r="C195" s="3">
        <f t="shared" si="46"/>
        <v>263</v>
      </c>
      <c r="D195" s="286">
        <f t="shared" si="47"/>
        <v>3.9510846703924045E-3</v>
      </c>
      <c r="E195" s="3">
        <f t="shared" si="48"/>
        <v>66564</v>
      </c>
      <c r="G195" s="267">
        <f t="shared" si="51"/>
        <v>132</v>
      </c>
      <c r="H195" s="310">
        <f t="shared" si="52"/>
        <v>2.2691073547096048</v>
      </c>
      <c r="I195" s="274">
        <f t="shared" si="53"/>
        <v>3.9510846703924045E-3</v>
      </c>
      <c r="J195" s="275">
        <f t="shared" si="49"/>
        <v>8.9654352846677797E-3</v>
      </c>
      <c r="K195" s="274"/>
      <c r="L195" s="274"/>
      <c r="M195" s="275">
        <f t="shared" si="50"/>
        <v>0</v>
      </c>
    </row>
    <row r="196" spans="1:13" x14ac:dyDescent="0.25">
      <c r="A196" s="281">
        <f t="shared" si="44"/>
        <v>131</v>
      </c>
      <c r="B196" s="3" t="str">
        <f t="shared" si="45"/>
        <v>130 to 131</v>
      </c>
      <c r="C196" s="3">
        <f t="shared" si="46"/>
        <v>261</v>
      </c>
      <c r="D196" s="286">
        <f t="shared" si="47"/>
        <v>3.9210383991346671E-3</v>
      </c>
      <c r="E196" s="3">
        <f t="shared" si="48"/>
        <v>66564</v>
      </c>
      <c r="G196" s="267">
        <f t="shared" si="51"/>
        <v>131</v>
      </c>
      <c r="H196" s="310">
        <f t="shared" si="52"/>
        <v>2.2865248474065396</v>
      </c>
      <c r="I196" s="274">
        <f t="shared" si="53"/>
        <v>3.9210383991346671E-3</v>
      </c>
      <c r="J196" s="275">
        <f t="shared" si="49"/>
        <v>8.9655517272565766E-3</v>
      </c>
      <c r="K196" s="274"/>
      <c r="L196" s="274"/>
      <c r="M196" s="275">
        <f t="shared" si="50"/>
        <v>0</v>
      </c>
    </row>
    <row r="197" spans="1:13" x14ac:dyDescent="0.25">
      <c r="A197" s="281">
        <f t="shared" ref="A197:A260" si="54">A198+1</f>
        <v>130</v>
      </c>
      <c r="B197" s="3" t="str">
        <f t="shared" ref="B197:B260" si="55">(A197-1) &amp; " to " &amp;A197</f>
        <v>129 to 130</v>
      </c>
      <c r="C197" s="3">
        <f t="shared" ref="C197:C260" si="56">2*A197-1</f>
        <v>259</v>
      </c>
      <c r="D197" s="286">
        <f t="shared" ref="D197:D260" si="57">(2*A197-1)/E197</f>
        <v>3.8909921278769306E-3</v>
      </c>
      <c r="E197" s="3">
        <f t="shared" ref="E197:E260" si="58">E198</f>
        <v>66564</v>
      </c>
      <c r="G197" s="267">
        <f t="shared" si="51"/>
        <v>130</v>
      </c>
      <c r="H197" s="310">
        <f t="shared" si="52"/>
        <v>2.3041308166996415</v>
      </c>
      <c r="I197" s="274">
        <f t="shared" si="53"/>
        <v>3.8909921278769306E-3</v>
      </c>
      <c r="J197" s="275">
        <f t="shared" ref="J197:J260" si="59">I197*$H197</f>
        <v>8.9653548693769472E-3</v>
      </c>
      <c r="K197" s="274"/>
      <c r="L197" s="274"/>
      <c r="M197" s="275">
        <f t="shared" ref="M197:M260" si="60">K197*$H197</f>
        <v>0</v>
      </c>
    </row>
    <row r="198" spans="1:13" x14ac:dyDescent="0.25">
      <c r="A198" s="281">
        <f t="shared" si="54"/>
        <v>129</v>
      </c>
      <c r="B198" s="3" t="str">
        <f t="shared" si="55"/>
        <v>128 to 129</v>
      </c>
      <c r="C198" s="3">
        <f t="shared" si="56"/>
        <v>257</v>
      </c>
      <c r="D198" s="286">
        <f t="shared" si="57"/>
        <v>3.8609458566191937E-3</v>
      </c>
      <c r="E198" s="3">
        <f t="shared" si="58"/>
        <v>66564</v>
      </c>
      <c r="G198" s="267">
        <f t="shared" si="51"/>
        <v>129</v>
      </c>
      <c r="H198" s="310">
        <f t="shared" si="52"/>
        <v>2.3219280948873622</v>
      </c>
      <c r="I198" s="274">
        <f t="shared" si="53"/>
        <v>3.8609458566191937E-3</v>
      </c>
      <c r="J198" s="275">
        <f t="shared" si="59"/>
        <v>8.9648386573230598E-3</v>
      </c>
      <c r="K198" s="274"/>
      <c r="L198" s="274"/>
      <c r="M198" s="275">
        <f t="shared" si="60"/>
        <v>0</v>
      </c>
    </row>
    <row r="199" spans="1:13" x14ac:dyDescent="0.25">
      <c r="A199" s="281">
        <f t="shared" si="54"/>
        <v>128</v>
      </c>
      <c r="B199" s="3" t="str">
        <f t="shared" si="55"/>
        <v>127 to 128</v>
      </c>
      <c r="C199" s="3">
        <f t="shared" si="56"/>
        <v>255</v>
      </c>
      <c r="D199" s="286">
        <f t="shared" si="57"/>
        <v>3.8308995853614568E-3</v>
      </c>
      <c r="E199" s="3">
        <f t="shared" si="58"/>
        <v>66564</v>
      </c>
      <c r="G199" s="267">
        <f t="shared" ref="G199:G262" si="61">A199</f>
        <v>128</v>
      </c>
      <c r="H199" s="310">
        <f t="shared" ref="H199:H262" si="62">LOG(1+E199/A199^2,2)</f>
        <v>2.3399195756206779</v>
      </c>
      <c r="I199" s="274">
        <f t="shared" ref="I199:I262" si="63">D199</f>
        <v>3.8308995853614568E-3</v>
      </c>
      <c r="J199" s="275">
        <f t="shared" si="59"/>
        <v>8.9639969320244109E-3</v>
      </c>
      <c r="K199" s="274"/>
      <c r="L199" s="274"/>
      <c r="M199" s="275">
        <f t="shared" si="60"/>
        <v>0</v>
      </c>
    </row>
    <row r="200" spans="1:13" x14ac:dyDescent="0.25">
      <c r="A200" s="281">
        <f t="shared" si="54"/>
        <v>127</v>
      </c>
      <c r="B200" s="3" t="str">
        <f t="shared" si="55"/>
        <v>126 to 127</v>
      </c>
      <c r="C200" s="3">
        <f t="shared" si="56"/>
        <v>253</v>
      </c>
      <c r="D200" s="286">
        <f t="shared" si="57"/>
        <v>3.8008533141037199E-3</v>
      </c>
      <c r="E200" s="3">
        <f t="shared" si="58"/>
        <v>66564</v>
      </c>
      <c r="G200" s="267">
        <f t="shared" si="61"/>
        <v>127</v>
      </c>
      <c r="H200" s="310">
        <f t="shared" si="62"/>
        <v>2.3581082157800122</v>
      </c>
      <c r="I200" s="274">
        <f t="shared" si="63"/>
        <v>3.8008533141037199E-3</v>
      </c>
      <c r="J200" s="275">
        <f t="shared" si="59"/>
        <v>8.9628234269626683E-3</v>
      </c>
      <c r="K200" s="274"/>
      <c r="L200" s="274"/>
      <c r="M200" s="275">
        <f t="shared" si="60"/>
        <v>0</v>
      </c>
    </row>
    <row r="201" spans="1:13" x14ac:dyDescent="0.25">
      <c r="A201" s="281">
        <f t="shared" si="54"/>
        <v>126</v>
      </c>
      <c r="B201" s="3" t="str">
        <f t="shared" si="55"/>
        <v>125 to 126</v>
      </c>
      <c r="C201" s="3">
        <f t="shared" si="56"/>
        <v>251</v>
      </c>
      <c r="D201" s="286">
        <f t="shared" si="57"/>
        <v>3.770807042845983E-3</v>
      </c>
      <c r="E201" s="3">
        <f t="shared" si="58"/>
        <v>66564</v>
      </c>
      <c r="G201" s="267">
        <f t="shared" si="61"/>
        <v>126</v>
      </c>
      <c r="H201" s="310">
        <f t="shared" si="62"/>
        <v>2.3764970374267858</v>
      </c>
      <c r="I201" s="274">
        <f t="shared" si="63"/>
        <v>3.770807042845983E-3</v>
      </c>
      <c r="J201" s="275">
        <f t="shared" si="59"/>
        <v>8.9613117660315381E-3</v>
      </c>
      <c r="K201" s="274"/>
      <c r="L201" s="274"/>
      <c r="M201" s="275">
        <f t="shared" si="60"/>
        <v>0</v>
      </c>
    </row>
    <row r="202" spans="1:13" x14ac:dyDescent="0.25">
      <c r="A202" s="281">
        <f t="shared" si="54"/>
        <v>125</v>
      </c>
      <c r="B202" s="3" t="str">
        <f t="shared" si="55"/>
        <v>124 to 125</v>
      </c>
      <c r="C202" s="3">
        <f t="shared" si="56"/>
        <v>249</v>
      </c>
      <c r="D202" s="286">
        <f t="shared" si="57"/>
        <v>3.7407607715882461E-3</v>
      </c>
      <c r="E202" s="3">
        <f t="shared" si="58"/>
        <v>66564</v>
      </c>
      <c r="G202" s="267">
        <f t="shared" si="61"/>
        <v>125</v>
      </c>
      <c r="H202" s="310">
        <f t="shared" si="62"/>
        <v>2.3950891298331811</v>
      </c>
      <c r="I202" s="274">
        <f t="shared" si="63"/>
        <v>3.7407607715882461E-3</v>
      </c>
      <c r="J202" s="275">
        <f t="shared" si="59"/>
        <v>8.9594554613373917E-3</v>
      </c>
      <c r="K202" s="274"/>
      <c r="L202" s="274"/>
      <c r="M202" s="275">
        <f t="shared" si="60"/>
        <v>0</v>
      </c>
    </row>
    <row r="203" spans="1:13" x14ac:dyDescent="0.25">
      <c r="A203" s="281">
        <f t="shared" si="54"/>
        <v>124</v>
      </c>
      <c r="B203" s="3" t="str">
        <f t="shared" si="55"/>
        <v>123 to 124</v>
      </c>
      <c r="C203" s="3">
        <f t="shared" si="56"/>
        <v>247</v>
      </c>
      <c r="D203" s="286">
        <f t="shared" si="57"/>
        <v>3.7107145003305092E-3</v>
      </c>
      <c r="E203" s="3">
        <f t="shared" si="58"/>
        <v>66564</v>
      </c>
      <c r="G203" s="267">
        <f t="shared" si="61"/>
        <v>124</v>
      </c>
      <c r="H203" s="310">
        <f t="shared" si="62"/>
        <v>2.4138876515939129</v>
      </c>
      <c r="I203" s="274">
        <f t="shared" si="63"/>
        <v>3.7107145003305092E-3</v>
      </c>
      <c r="J203" s="275">
        <f t="shared" si="59"/>
        <v>8.9572479109382933E-3</v>
      </c>
      <c r="K203" s="274"/>
      <c r="L203" s="274"/>
      <c r="M203" s="275">
        <f t="shared" si="60"/>
        <v>0</v>
      </c>
    </row>
    <row r="204" spans="1:13" x14ac:dyDescent="0.25">
      <c r="A204" s="281">
        <f t="shared" si="54"/>
        <v>123</v>
      </c>
      <c r="B204" s="3" t="str">
        <f t="shared" si="55"/>
        <v>122 to 123</v>
      </c>
      <c r="C204" s="3">
        <f t="shared" si="56"/>
        <v>245</v>
      </c>
      <c r="D204" s="286">
        <f t="shared" si="57"/>
        <v>3.6806682290727723E-3</v>
      </c>
      <c r="E204" s="3">
        <f t="shared" si="58"/>
        <v>66564</v>
      </c>
      <c r="G204" s="267">
        <f t="shared" si="61"/>
        <v>123</v>
      </c>
      <c r="H204" s="310">
        <f t="shared" si="62"/>
        <v>2.4328958328240233</v>
      </c>
      <c r="I204" s="274">
        <f t="shared" si="63"/>
        <v>3.6806682290727723E-3</v>
      </c>
      <c r="J204" s="275">
        <f t="shared" si="59"/>
        <v>8.9546823965189256E-3</v>
      </c>
      <c r="K204" s="274"/>
      <c r="L204" s="274"/>
      <c r="M204" s="275">
        <f t="shared" si="60"/>
        <v>0</v>
      </c>
    </row>
    <row r="205" spans="1:13" x14ac:dyDescent="0.25">
      <c r="A205" s="281">
        <f t="shared" si="54"/>
        <v>122</v>
      </c>
      <c r="B205" s="3" t="str">
        <f t="shared" si="55"/>
        <v>121 to 122</v>
      </c>
      <c r="C205" s="3">
        <f t="shared" si="56"/>
        <v>243</v>
      </c>
      <c r="D205" s="286">
        <f t="shared" si="57"/>
        <v>3.6506219578150353E-3</v>
      </c>
      <c r="E205" s="3">
        <f t="shared" si="58"/>
        <v>66564</v>
      </c>
      <c r="G205" s="267">
        <f t="shared" si="61"/>
        <v>122</v>
      </c>
      <c r="H205" s="310">
        <f t="shared" si="62"/>
        <v>2.452116977446936</v>
      </c>
      <c r="I205" s="274">
        <f t="shared" si="63"/>
        <v>3.6506219578150353E-3</v>
      </c>
      <c r="J205" s="275">
        <f t="shared" si="59"/>
        <v>8.9517520809988208E-3</v>
      </c>
      <c r="K205" s="274"/>
      <c r="L205" s="274"/>
      <c r="M205" s="275">
        <f t="shared" si="60"/>
        <v>0</v>
      </c>
    </row>
    <row r="206" spans="1:13" x14ac:dyDescent="0.25">
      <c r="A206" s="281">
        <f t="shared" si="54"/>
        <v>121</v>
      </c>
      <c r="B206" s="3" t="str">
        <f t="shared" si="55"/>
        <v>120 to 121</v>
      </c>
      <c r="C206" s="3">
        <f t="shared" si="56"/>
        <v>241</v>
      </c>
      <c r="D206" s="286">
        <f t="shared" si="57"/>
        <v>3.6205756865572984E-3</v>
      </c>
      <c r="E206" s="3">
        <f t="shared" si="58"/>
        <v>66564</v>
      </c>
      <c r="G206" s="267">
        <f t="shared" si="61"/>
        <v>121</v>
      </c>
      <c r="H206" s="310">
        <f t="shared" si="62"/>
        <v>2.471554465577261</v>
      </c>
      <c r="I206" s="274">
        <f t="shared" si="63"/>
        <v>3.6205756865572984E-3</v>
      </c>
      <c r="J206" s="275">
        <f t="shared" si="59"/>
        <v>8.9484500060711489E-3</v>
      </c>
      <c r="K206" s="274"/>
      <c r="L206" s="274"/>
      <c r="M206" s="275">
        <f t="shared" si="60"/>
        <v>0</v>
      </c>
    </row>
    <row r="207" spans="1:13" x14ac:dyDescent="0.25">
      <c r="A207" s="281">
        <f t="shared" si="54"/>
        <v>120</v>
      </c>
      <c r="B207" s="3" t="str">
        <f t="shared" si="55"/>
        <v>119 to 120</v>
      </c>
      <c r="C207" s="3">
        <f t="shared" si="56"/>
        <v>239</v>
      </c>
      <c r="D207" s="286">
        <f t="shared" si="57"/>
        <v>3.5905294152995615E-3</v>
      </c>
      <c r="E207" s="3">
        <f t="shared" si="58"/>
        <v>66564</v>
      </c>
      <c r="G207" s="267">
        <f t="shared" si="61"/>
        <v>120</v>
      </c>
      <c r="H207" s="310">
        <f t="shared" si="62"/>
        <v>2.491211756003092</v>
      </c>
      <c r="I207" s="274">
        <f t="shared" si="63"/>
        <v>3.5905294152995615E-3</v>
      </c>
      <c r="J207" s="275">
        <f t="shared" si="59"/>
        <v>8.9447690896691766E-3</v>
      </c>
      <c r="K207" s="274"/>
      <c r="L207" s="274"/>
      <c r="M207" s="275">
        <f t="shared" si="60"/>
        <v>0</v>
      </c>
    </row>
    <row r="208" spans="1:13" x14ac:dyDescent="0.25">
      <c r="A208" s="281">
        <f t="shared" si="54"/>
        <v>119</v>
      </c>
      <c r="B208" s="3" t="str">
        <f t="shared" si="55"/>
        <v>118 to 119</v>
      </c>
      <c r="C208" s="3">
        <f t="shared" si="56"/>
        <v>237</v>
      </c>
      <c r="D208" s="286">
        <f t="shared" si="57"/>
        <v>3.5604831440418246E-3</v>
      </c>
      <c r="E208" s="3">
        <f t="shared" si="58"/>
        <v>66564</v>
      </c>
      <c r="G208" s="267">
        <f t="shared" si="61"/>
        <v>119</v>
      </c>
      <c r="H208" s="310">
        <f t="shared" si="62"/>
        <v>2.5110923887728185</v>
      </c>
      <c r="I208" s="274">
        <f t="shared" si="63"/>
        <v>3.5604831440418246E-3</v>
      </c>
      <c r="J208" s="275">
        <f t="shared" si="59"/>
        <v>8.94070212335734E-3</v>
      </c>
      <c r="K208" s="274"/>
      <c r="L208" s="274"/>
      <c r="M208" s="275">
        <f t="shared" si="60"/>
        <v>0</v>
      </c>
    </row>
    <row r="209" spans="1:13" x14ac:dyDescent="0.25">
      <c r="A209" s="281">
        <f t="shared" si="54"/>
        <v>118</v>
      </c>
      <c r="B209" s="3" t="str">
        <f t="shared" si="55"/>
        <v>117 to 118</v>
      </c>
      <c r="C209" s="3">
        <f t="shared" si="56"/>
        <v>235</v>
      </c>
      <c r="D209" s="286">
        <f t="shared" si="57"/>
        <v>3.5304368727840877E-3</v>
      </c>
      <c r="E209" s="3">
        <f t="shared" si="58"/>
        <v>66564</v>
      </c>
      <c r="G209" s="267">
        <f t="shared" si="61"/>
        <v>118</v>
      </c>
      <c r="H209" s="310">
        <f t="shared" si="62"/>
        <v>2.531199987891783</v>
      </c>
      <c r="I209" s="274">
        <f t="shared" si="63"/>
        <v>3.5304368727840877E-3</v>
      </c>
      <c r="J209" s="275">
        <f t="shared" si="59"/>
        <v>8.9362417696437872E-3</v>
      </c>
      <c r="K209" s="274"/>
      <c r="L209" s="274"/>
      <c r="M209" s="275">
        <f t="shared" si="60"/>
        <v>0</v>
      </c>
    </row>
    <row r="210" spans="1:13" x14ac:dyDescent="0.25">
      <c r="A210" s="281">
        <f t="shared" si="54"/>
        <v>117</v>
      </c>
      <c r="B210" s="3" t="str">
        <f t="shared" si="55"/>
        <v>116 to 117</v>
      </c>
      <c r="C210" s="3">
        <f t="shared" si="56"/>
        <v>233</v>
      </c>
      <c r="D210" s="286">
        <f t="shared" si="57"/>
        <v>3.5003906015263508E-3</v>
      </c>
      <c r="E210" s="3">
        <f t="shared" si="58"/>
        <v>66564</v>
      </c>
      <c r="G210" s="267">
        <f t="shared" si="61"/>
        <v>117</v>
      </c>
      <c r="H210" s="310">
        <f t="shared" si="62"/>
        <v>2.5515382641344146</v>
      </c>
      <c r="I210" s="274">
        <f t="shared" si="63"/>
        <v>3.5003906015263508E-3</v>
      </c>
      <c r="J210" s="275">
        <f t="shared" si="59"/>
        <v>8.9313805592109649E-3</v>
      </c>
      <c r="K210" s="274"/>
      <c r="L210" s="274"/>
      <c r="M210" s="275">
        <f t="shared" si="60"/>
        <v>0</v>
      </c>
    </row>
    <row r="211" spans="1:13" x14ac:dyDescent="0.25">
      <c r="A211" s="281">
        <f t="shared" si="54"/>
        <v>116</v>
      </c>
      <c r="B211" s="3" t="str">
        <f t="shared" si="55"/>
        <v>115 to 116</v>
      </c>
      <c r="C211" s="3">
        <f t="shared" si="56"/>
        <v>231</v>
      </c>
      <c r="D211" s="286">
        <f t="shared" si="57"/>
        <v>3.4703443302686139E-3</v>
      </c>
      <c r="E211" s="3">
        <f t="shared" si="58"/>
        <v>66564</v>
      </c>
      <c r="G211" s="267">
        <f t="shared" si="61"/>
        <v>116</v>
      </c>
      <c r="H211" s="310">
        <f t="shared" si="62"/>
        <v>2.5721110179778202</v>
      </c>
      <c r="I211" s="274">
        <f t="shared" si="63"/>
        <v>3.4703443302686139E-3</v>
      </c>
      <c r="J211" s="275">
        <f t="shared" si="59"/>
        <v>8.9261108880607613E-3</v>
      </c>
      <c r="K211" s="274"/>
      <c r="L211" s="274"/>
      <c r="M211" s="275">
        <f t="shared" si="60"/>
        <v>0</v>
      </c>
    </row>
    <row r="212" spans="1:13" x14ac:dyDescent="0.25">
      <c r="A212" s="281">
        <f t="shared" si="54"/>
        <v>115</v>
      </c>
      <c r="B212" s="3" t="str">
        <f t="shared" si="55"/>
        <v>114 to 115</v>
      </c>
      <c r="C212" s="3">
        <f t="shared" si="56"/>
        <v>229</v>
      </c>
      <c r="D212" s="286">
        <f t="shared" si="57"/>
        <v>3.4402980590108765E-3</v>
      </c>
      <c r="E212" s="3">
        <f t="shared" si="58"/>
        <v>66564</v>
      </c>
      <c r="G212" s="267">
        <f t="shared" si="61"/>
        <v>115</v>
      </c>
      <c r="H212" s="310">
        <f t="shared" si="62"/>
        <v>2.5929221426631712</v>
      </c>
      <c r="I212" s="274">
        <f t="shared" si="63"/>
        <v>3.4402980590108765E-3</v>
      </c>
      <c r="J212" s="275">
        <f t="shared" si="59"/>
        <v>8.9204250145704309E-3</v>
      </c>
      <c r="K212" s="274"/>
      <c r="L212" s="274"/>
      <c r="M212" s="275">
        <f t="shared" si="60"/>
        <v>0</v>
      </c>
    </row>
    <row r="213" spans="1:13" x14ac:dyDescent="0.25">
      <c r="A213" s="281">
        <f t="shared" si="54"/>
        <v>114</v>
      </c>
      <c r="B213" s="3" t="str">
        <f t="shared" si="55"/>
        <v>113 to 114</v>
      </c>
      <c r="C213" s="3">
        <f t="shared" si="56"/>
        <v>227</v>
      </c>
      <c r="D213" s="286">
        <f t="shared" si="57"/>
        <v>3.4102517877531396E-3</v>
      </c>
      <c r="E213" s="3">
        <f t="shared" si="58"/>
        <v>66564</v>
      </c>
      <c r="G213" s="267">
        <f t="shared" si="61"/>
        <v>114</v>
      </c>
      <c r="H213" s="310">
        <f t="shared" si="62"/>
        <v>2.613975627391623</v>
      </c>
      <c r="I213" s="274">
        <f t="shared" si="63"/>
        <v>3.4102517877531396E-3</v>
      </c>
      <c r="J213" s="275">
        <f t="shared" si="59"/>
        <v>8.9143150564554175E-3</v>
      </c>
      <c r="K213" s="274"/>
      <c r="L213" s="274"/>
      <c r="M213" s="275">
        <f t="shared" si="60"/>
        <v>0</v>
      </c>
    </row>
    <row r="214" spans="1:13" x14ac:dyDescent="0.25">
      <c r="A214" s="281">
        <f t="shared" si="54"/>
        <v>113</v>
      </c>
      <c r="B214" s="3" t="str">
        <f t="shared" si="55"/>
        <v>112 to 113</v>
      </c>
      <c r="C214" s="3">
        <f t="shared" si="56"/>
        <v>225</v>
      </c>
      <c r="D214" s="286">
        <f t="shared" si="57"/>
        <v>3.3802055164954027E-3</v>
      </c>
      <c r="E214" s="3">
        <f t="shared" si="58"/>
        <v>66564</v>
      </c>
      <c r="G214" s="267">
        <f t="shared" si="61"/>
        <v>113</v>
      </c>
      <c r="H214" s="310">
        <f t="shared" si="62"/>
        <v>2.6352755606618952</v>
      </c>
      <c r="I214" s="274">
        <f t="shared" si="63"/>
        <v>3.3802055164954027E-3</v>
      </c>
      <c r="J214" s="275">
        <f t="shared" si="59"/>
        <v>8.9077729876348537E-3</v>
      </c>
      <c r="K214" s="274"/>
      <c r="L214" s="274"/>
      <c r="M214" s="275">
        <f t="shared" si="60"/>
        <v>0</v>
      </c>
    </row>
    <row r="215" spans="1:13" x14ac:dyDescent="0.25">
      <c r="A215" s="281">
        <f t="shared" si="54"/>
        <v>112</v>
      </c>
      <c r="B215" s="3" t="str">
        <f t="shared" si="55"/>
        <v>111 to 112</v>
      </c>
      <c r="C215" s="3">
        <f t="shared" si="56"/>
        <v>223</v>
      </c>
      <c r="D215" s="286">
        <f t="shared" si="57"/>
        <v>3.3501592452376658E-3</v>
      </c>
      <c r="E215" s="3">
        <f t="shared" si="58"/>
        <v>66564</v>
      </c>
      <c r="G215" s="267">
        <f t="shared" si="61"/>
        <v>112</v>
      </c>
      <c r="H215" s="310">
        <f t="shared" si="62"/>
        <v>2.656826133757118</v>
      </c>
      <c r="I215" s="274">
        <f t="shared" si="63"/>
        <v>3.3501592452376658E-3</v>
      </c>
      <c r="J215" s="275">
        <f t="shared" si="59"/>
        <v>8.9007906349954525E-3</v>
      </c>
      <c r="K215" s="274"/>
      <c r="L215" s="274"/>
      <c r="M215" s="275">
        <f t="shared" si="60"/>
        <v>0</v>
      </c>
    </row>
    <row r="216" spans="1:13" x14ac:dyDescent="0.25">
      <c r="A216" s="281">
        <f t="shared" si="54"/>
        <v>111</v>
      </c>
      <c r="B216" s="3" t="str">
        <f t="shared" si="55"/>
        <v>110 to 111</v>
      </c>
      <c r="C216" s="3">
        <f t="shared" si="56"/>
        <v>221</v>
      </c>
      <c r="D216" s="286">
        <f t="shared" si="57"/>
        <v>3.3201129739799289E-3</v>
      </c>
      <c r="E216" s="3">
        <f t="shared" si="58"/>
        <v>66564</v>
      </c>
      <c r="G216" s="267">
        <f t="shared" si="61"/>
        <v>111</v>
      </c>
      <c r="H216" s="310">
        <f t="shared" si="62"/>
        <v>2.678631644389001</v>
      </c>
      <c r="I216" s="274">
        <f t="shared" si="63"/>
        <v>3.3201129739799289E-3</v>
      </c>
      <c r="J216" s="275">
        <f t="shared" si="59"/>
        <v>8.8933596750491138E-3</v>
      </c>
      <c r="K216" s="274"/>
      <c r="L216" s="274"/>
      <c r="M216" s="275">
        <f t="shared" si="60"/>
        <v>0</v>
      </c>
    </row>
    <row r="217" spans="1:13" x14ac:dyDescent="0.25">
      <c r="A217" s="281">
        <f t="shared" si="54"/>
        <v>110</v>
      </c>
      <c r="B217" s="3" t="str">
        <f t="shared" si="55"/>
        <v>109 to 110</v>
      </c>
      <c r="C217" s="3">
        <f t="shared" si="56"/>
        <v>219</v>
      </c>
      <c r="D217" s="286">
        <f t="shared" si="57"/>
        <v>3.290066702722192E-3</v>
      </c>
      <c r="E217" s="3">
        <f t="shared" si="58"/>
        <v>66564</v>
      </c>
      <c r="G217" s="267">
        <f t="shared" si="61"/>
        <v>110</v>
      </c>
      <c r="H217" s="310">
        <f t="shared" si="62"/>
        <v>2.7006965005078971</v>
      </c>
      <c r="I217" s="274">
        <f t="shared" si="63"/>
        <v>3.290066702722192E-3</v>
      </c>
      <c r="J217" s="275">
        <f t="shared" si="59"/>
        <v>8.8854716304793795E-3</v>
      </c>
      <c r="K217" s="274"/>
      <c r="L217" s="274"/>
      <c r="M217" s="275">
        <f t="shared" si="60"/>
        <v>0</v>
      </c>
    </row>
    <row r="218" spans="1:13" x14ac:dyDescent="0.25">
      <c r="A218" s="281">
        <f t="shared" si="54"/>
        <v>109</v>
      </c>
      <c r="B218" s="3" t="str">
        <f t="shared" si="55"/>
        <v>108 to 109</v>
      </c>
      <c r="C218" s="3">
        <f t="shared" si="56"/>
        <v>217</v>
      </c>
      <c r="D218" s="286">
        <f t="shared" si="57"/>
        <v>3.2600204314644551E-3</v>
      </c>
      <c r="E218" s="3">
        <f t="shared" si="58"/>
        <v>66564</v>
      </c>
      <c r="G218" s="267">
        <f t="shared" si="61"/>
        <v>109</v>
      </c>
      <c r="H218" s="310">
        <f t="shared" si="62"/>
        <v>2.723025224287897</v>
      </c>
      <c r="I218" s="274">
        <f t="shared" si="63"/>
        <v>3.2600204314644551E-3</v>
      </c>
      <c r="J218" s="275">
        <f t="shared" si="59"/>
        <v>8.8771178665716238E-3</v>
      </c>
      <c r="K218" s="274"/>
      <c r="L218" s="274"/>
      <c r="M218" s="275">
        <f t="shared" si="60"/>
        <v>0</v>
      </c>
    </row>
    <row r="219" spans="1:13" x14ac:dyDescent="0.25">
      <c r="A219" s="281">
        <f t="shared" si="54"/>
        <v>108</v>
      </c>
      <c r="B219" s="3" t="str">
        <f t="shared" si="55"/>
        <v>107 to 108</v>
      </c>
      <c r="C219" s="3">
        <f t="shared" si="56"/>
        <v>215</v>
      </c>
      <c r="D219" s="286">
        <f t="shared" si="57"/>
        <v>3.2299741602067182E-3</v>
      </c>
      <c r="E219" s="3">
        <f t="shared" si="58"/>
        <v>66564</v>
      </c>
      <c r="G219" s="267">
        <f t="shared" si="61"/>
        <v>108</v>
      </c>
      <c r="H219" s="310">
        <f t="shared" si="62"/>
        <v>2.7456224562966582</v>
      </c>
      <c r="I219" s="274">
        <f t="shared" si="63"/>
        <v>3.2299741602067182E-3</v>
      </c>
      <c r="J219" s="275">
        <f t="shared" si="59"/>
        <v>8.8682895875215051E-3</v>
      </c>
      <c r="K219" s="274"/>
      <c r="L219" s="274"/>
      <c r="M219" s="275">
        <f t="shared" si="60"/>
        <v>0</v>
      </c>
    </row>
    <row r="220" spans="1:13" x14ac:dyDescent="0.25">
      <c r="A220" s="281">
        <f t="shared" si="54"/>
        <v>107</v>
      </c>
      <c r="B220" s="3" t="str">
        <f t="shared" si="55"/>
        <v>106 to 107</v>
      </c>
      <c r="C220" s="3">
        <f t="shared" si="56"/>
        <v>213</v>
      </c>
      <c r="D220" s="286">
        <f t="shared" si="57"/>
        <v>3.1999278889489812E-3</v>
      </c>
      <c r="E220" s="3">
        <f t="shared" si="58"/>
        <v>66564</v>
      </c>
      <c r="G220" s="267">
        <f t="shared" si="61"/>
        <v>107</v>
      </c>
      <c r="H220" s="310">
        <f t="shared" si="62"/>
        <v>2.7684929598603181</v>
      </c>
      <c r="I220" s="274">
        <f t="shared" si="63"/>
        <v>3.1999278889489812E-3</v>
      </c>
      <c r="J220" s="275">
        <f t="shared" si="59"/>
        <v>8.8589778326159437E-3</v>
      </c>
      <c r="K220" s="274"/>
      <c r="L220" s="274"/>
      <c r="M220" s="275">
        <f t="shared" si="60"/>
        <v>0</v>
      </c>
    </row>
    <row r="221" spans="1:13" x14ac:dyDescent="0.25">
      <c r="A221" s="281">
        <f t="shared" si="54"/>
        <v>106</v>
      </c>
      <c r="B221" s="3" t="str">
        <f t="shared" si="55"/>
        <v>105 to 106</v>
      </c>
      <c r="C221" s="3">
        <f t="shared" si="56"/>
        <v>211</v>
      </c>
      <c r="D221" s="286">
        <f t="shared" si="57"/>
        <v>3.1698816176912443E-3</v>
      </c>
      <c r="E221" s="3">
        <f t="shared" si="58"/>
        <v>66564</v>
      </c>
      <c r="G221" s="267">
        <f t="shared" si="61"/>
        <v>106</v>
      </c>
      <c r="H221" s="310">
        <f t="shared" si="62"/>
        <v>2.7916416256345182</v>
      </c>
      <c r="I221" s="274">
        <f t="shared" si="63"/>
        <v>3.1698816176912443E-3</v>
      </c>
      <c r="J221" s="275">
        <f t="shared" si="59"/>
        <v>8.849173472280562E-3</v>
      </c>
      <c r="K221" s="274"/>
      <c r="L221" s="274"/>
      <c r="M221" s="275">
        <f t="shared" si="60"/>
        <v>0</v>
      </c>
    </row>
    <row r="222" spans="1:13" x14ac:dyDescent="0.25">
      <c r="A222" s="281">
        <f t="shared" si="54"/>
        <v>105</v>
      </c>
      <c r="B222" s="3" t="str">
        <f t="shared" si="55"/>
        <v>104 to 105</v>
      </c>
      <c r="C222" s="3">
        <f t="shared" si="56"/>
        <v>209</v>
      </c>
      <c r="D222" s="286">
        <f t="shared" si="57"/>
        <v>3.1398353464335074E-3</v>
      </c>
      <c r="E222" s="3">
        <f t="shared" si="58"/>
        <v>66564</v>
      </c>
      <c r="G222" s="267">
        <f t="shared" si="61"/>
        <v>105</v>
      </c>
      <c r="H222" s="310">
        <f t="shared" si="62"/>
        <v>2.8150734763932967</v>
      </c>
      <c r="I222" s="274">
        <f t="shared" si="63"/>
        <v>3.1398353464335074E-3</v>
      </c>
      <c r="J222" s="275">
        <f t="shared" si="59"/>
        <v>8.8388672039871243E-3</v>
      </c>
      <c r="K222" s="274"/>
      <c r="L222" s="274"/>
      <c r="M222" s="275">
        <f t="shared" si="60"/>
        <v>0</v>
      </c>
    </row>
    <row r="223" spans="1:13" x14ac:dyDescent="0.25">
      <c r="A223" s="281">
        <f t="shared" si="54"/>
        <v>104</v>
      </c>
      <c r="B223" s="3" t="str">
        <f t="shared" si="55"/>
        <v>103 to 104</v>
      </c>
      <c r="C223" s="3">
        <f t="shared" si="56"/>
        <v>207</v>
      </c>
      <c r="D223" s="286">
        <f t="shared" si="57"/>
        <v>3.1097890751757705E-3</v>
      </c>
      <c r="E223" s="3">
        <f t="shared" si="58"/>
        <v>66564</v>
      </c>
      <c r="G223" s="267">
        <f t="shared" si="61"/>
        <v>104</v>
      </c>
      <c r="H223" s="310">
        <f t="shared" si="62"/>
        <v>2.8387936720483946</v>
      </c>
      <c r="I223" s="274">
        <f t="shared" si="63"/>
        <v>3.1097890751757705E-3</v>
      </c>
      <c r="J223" s="275">
        <f t="shared" si="59"/>
        <v>8.8280495480142062E-3</v>
      </c>
      <c r="K223" s="274"/>
      <c r="L223" s="274"/>
      <c r="M223" s="275">
        <f t="shared" si="60"/>
        <v>0</v>
      </c>
    </row>
    <row r="224" spans="1:13" x14ac:dyDescent="0.25">
      <c r="A224" s="281">
        <f t="shared" si="54"/>
        <v>103</v>
      </c>
      <c r="B224" s="3" t="str">
        <f t="shared" si="55"/>
        <v>102 to 103</v>
      </c>
      <c r="C224" s="3">
        <f t="shared" si="56"/>
        <v>205</v>
      </c>
      <c r="D224" s="286">
        <f t="shared" si="57"/>
        <v>3.0797428039180336E-3</v>
      </c>
      <c r="E224" s="3">
        <f t="shared" si="58"/>
        <v>66564</v>
      </c>
      <c r="G224" s="267">
        <f t="shared" si="61"/>
        <v>103</v>
      </c>
      <c r="H224" s="310">
        <f t="shared" si="62"/>
        <v>2.8628075149123657</v>
      </c>
      <c r="I224" s="274">
        <f t="shared" si="63"/>
        <v>3.0797428039180336E-3</v>
      </c>
      <c r="J224" s="275">
        <f t="shared" si="59"/>
        <v>8.8167108430538266E-3</v>
      </c>
      <c r="K224" s="274"/>
      <c r="L224" s="274"/>
      <c r="M224" s="275">
        <f t="shared" si="60"/>
        <v>0</v>
      </c>
    </row>
    <row r="225" spans="1:13" x14ac:dyDescent="0.25">
      <c r="A225" s="281">
        <f t="shared" si="54"/>
        <v>102</v>
      </c>
      <c r="B225" s="3" t="str">
        <f t="shared" si="55"/>
        <v>101 to 102</v>
      </c>
      <c r="C225" s="3">
        <f t="shared" si="56"/>
        <v>203</v>
      </c>
      <c r="D225" s="286">
        <f t="shared" si="57"/>
        <v>3.0496965326602967E-3</v>
      </c>
      <c r="E225" s="3">
        <f t="shared" si="58"/>
        <v>66564</v>
      </c>
      <c r="G225" s="267">
        <f t="shared" si="61"/>
        <v>102</v>
      </c>
      <c r="H225" s="310">
        <f t="shared" si="62"/>
        <v>2.8871204552198115</v>
      </c>
      <c r="I225" s="274">
        <f t="shared" si="63"/>
        <v>3.0496965326602967E-3</v>
      </c>
      <c r="J225" s="275">
        <f t="shared" si="59"/>
        <v>8.8048412416564768E-3</v>
      </c>
      <c r="K225" s="274"/>
      <c r="L225" s="274"/>
      <c r="M225" s="275">
        <f t="shared" si="60"/>
        <v>0</v>
      </c>
    </row>
    <row r="226" spans="1:13" x14ac:dyDescent="0.25">
      <c r="A226" s="281">
        <f t="shared" si="54"/>
        <v>101</v>
      </c>
      <c r="B226" s="3" t="str">
        <f t="shared" si="55"/>
        <v>100 to 101</v>
      </c>
      <c r="C226" s="3">
        <f t="shared" si="56"/>
        <v>201</v>
      </c>
      <c r="D226" s="286">
        <f t="shared" si="57"/>
        <v>3.0196502614025598E-3</v>
      </c>
      <c r="E226" s="3">
        <f t="shared" si="58"/>
        <v>66564</v>
      </c>
      <c r="G226" s="267">
        <f t="shared" si="61"/>
        <v>101</v>
      </c>
      <c r="H226" s="310">
        <f t="shared" si="62"/>
        <v>2.9117380969220226</v>
      </c>
      <c r="I226" s="274">
        <f t="shared" si="63"/>
        <v>3.0196502614025598E-3</v>
      </c>
      <c r="J226" s="275">
        <f t="shared" si="59"/>
        <v>8.7924307055063777E-3</v>
      </c>
      <c r="K226" s="274"/>
      <c r="L226" s="274"/>
      <c r="M226" s="275">
        <f t="shared" si="60"/>
        <v>0</v>
      </c>
    </row>
    <row r="227" spans="1:13" x14ac:dyDescent="0.25">
      <c r="A227" s="281">
        <f t="shared" si="54"/>
        <v>100</v>
      </c>
      <c r="B227" s="3" t="str">
        <f t="shared" si="55"/>
        <v>99 to 100</v>
      </c>
      <c r="C227" s="3">
        <f t="shared" si="56"/>
        <v>199</v>
      </c>
      <c r="D227" s="286">
        <f t="shared" si="57"/>
        <v>2.9896039901448229E-3</v>
      </c>
      <c r="E227" s="3">
        <f t="shared" si="58"/>
        <v>66564</v>
      </c>
      <c r="G227" s="267">
        <f t="shared" si="61"/>
        <v>100</v>
      </c>
      <c r="H227" s="310">
        <f t="shared" si="62"/>
        <v>2.9366662037713911</v>
      </c>
      <c r="I227" s="274">
        <f t="shared" si="63"/>
        <v>2.9896039901448229E-3</v>
      </c>
      <c r="J227" s="275">
        <f t="shared" si="59"/>
        <v>8.7794690005184011E-3</v>
      </c>
      <c r="K227" s="274"/>
      <c r="L227" s="274"/>
      <c r="M227" s="275">
        <f t="shared" si="60"/>
        <v>0</v>
      </c>
    </row>
    <row r="228" spans="1:13" x14ac:dyDescent="0.25">
      <c r="A228" s="281">
        <f t="shared" si="54"/>
        <v>99</v>
      </c>
      <c r="B228" s="3" t="str">
        <f t="shared" si="55"/>
        <v>98 to 99</v>
      </c>
      <c r="C228" s="3">
        <f t="shared" si="56"/>
        <v>197</v>
      </c>
      <c r="D228" s="286">
        <f t="shared" si="57"/>
        <v>2.959557718887086E-3</v>
      </c>
      <c r="E228" s="3">
        <f t="shared" si="58"/>
        <v>66564</v>
      </c>
      <c r="G228" s="267">
        <f t="shared" si="61"/>
        <v>99</v>
      </c>
      <c r="H228" s="310">
        <f t="shared" si="62"/>
        <v>2.9619107057131191</v>
      </c>
      <c r="I228" s="274">
        <f t="shared" si="63"/>
        <v>2.959557718887086E-3</v>
      </c>
      <c r="J228" s="275">
        <f t="shared" si="59"/>
        <v>8.7659456917475575E-3</v>
      </c>
      <c r="K228" s="274"/>
      <c r="L228" s="274"/>
      <c r="M228" s="275">
        <f t="shared" si="60"/>
        <v>0</v>
      </c>
    </row>
    <row r="229" spans="1:13" x14ac:dyDescent="0.25">
      <c r="A229" s="281">
        <f t="shared" si="54"/>
        <v>98</v>
      </c>
      <c r="B229" s="3" t="str">
        <f t="shared" si="55"/>
        <v>97 to 98</v>
      </c>
      <c r="C229" s="3">
        <f t="shared" si="56"/>
        <v>195</v>
      </c>
      <c r="D229" s="286">
        <f t="shared" si="57"/>
        <v>2.929511447629349E-3</v>
      </c>
      <c r="E229" s="3">
        <f t="shared" si="58"/>
        <v>66564</v>
      </c>
      <c r="G229" s="267">
        <f t="shared" si="61"/>
        <v>98</v>
      </c>
      <c r="H229" s="310">
        <f t="shared" si="62"/>
        <v>2.9874777056029562</v>
      </c>
      <c r="I229" s="274">
        <f t="shared" si="63"/>
        <v>2.929511447629349E-3</v>
      </c>
      <c r="J229" s="275">
        <f t="shared" si="59"/>
        <v>8.7518501381013223E-3</v>
      </c>
      <c r="K229" s="274"/>
      <c r="L229" s="274"/>
      <c r="M229" s="275">
        <f t="shared" si="60"/>
        <v>0</v>
      </c>
    </row>
    <row r="230" spans="1:13" x14ac:dyDescent="0.25">
      <c r="A230" s="281">
        <f t="shared" si="54"/>
        <v>97</v>
      </c>
      <c r="B230" s="3" t="str">
        <f t="shared" si="55"/>
        <v>96 to 97</v>
      </c>
      <c r="C230" s="3">
        <f t="shared" si="56"/>
        <v>193</v>
      </c>
      <c r="D230" s="286">
        <f t="shared" si="57"/>
        <v>2.8994651763716121E-3</v>
      </c>
      <c r="E230" s="3">
        <f t="shared" si="58"/>
        <v>66564</v>
      </c>
      <c r="G230" s="267">
        <f t="shared" si="61"/>
        <v>97</v>
      </c>
      <c r="H230" s="310">
        <f t="shared" si="62"/>
        <v>3.0133734862710941</v>
      </c>
      <c r="I230" s="274">
        <f t="shared" si="63"/>
        <v>2.8994651763716121E-3</v>
      </c>
      <c r="J230" s="275">
        <f t="shared" si="59"/>
        <v>8.7371714868445579E-3</v>
      </c>
      <c r="K230" s="274"/>
      <c r="L230" s="274"/>
      <c r="M230" s="275">
        <f t="shared" si="60"/>
        <v>0</v>
      </c>
    </row>
    <row r="231" spans="1:13" x14ac:dyDescent="0.25">
      <c r="A231" s="281">
        <f t="shared" si="54"/>
        <v>96</v>
      </c>
      <c r="B231" s="3" t="str">
        <f t="shared" si="55"/>
        <v>95 to 96</v>
      </c>
      <c r="C231" s="3">
        <f t="shared" si="56"/>
        <v>191</v>
      </c>
      <c r="D231" s="286">
        <f t="shared" si="57"/>
        <v>2.8694189051138752E-3</v>
      </c>
      <c r="E231" s="3">
        <f t="shared" si="58"/>
        <v>66564</v>
      </c>
      <c r="G231" s="267">
        <f t="shared" si="61"/>
        <v>96</v>
      </c>
      <c r="H231" s="310">
        <f t="shared" si="62"/>
        <v>3.0396045179537587</v>
      </c>
      <c r="I231" s="274">
        <f t="shared" si="63"/>
        <v>2.8694189051138752E-3</v>
      </c>
      <c r="J231" s="275">
        <f t="shared" si="59"/>
        <v>8.7218986678860629E-3</v>
      </c>
      <c r="K231" s="274"/>
      <c r="L231" s="274"/>
      <c r="M231" s="275">
        <f t="shared" si="60"/>
        <v>0</v>
      </c>
    </row>
    <row r="232" spans="1:13" x14ac:dyDescent="0.25">
      <c r="A232" s="281">
        <f t="shared" si="54"/>
        <v>95</v>
      </c>
      <c r="B232" s="3" t="str">
        <f t="shared" si="55"/>
        <v>94 to 95</v>
      </c>
      <c r="C232" s="3">
        <f t="shared" si="56"/>
        <v>189</v>
      </c>
      <c r="D232" s="286">
        <f t="shared" si="57"/>
        <v>2.8393726338561383E-3</v>
      </c>
      <c r="E232" s="3">
        <f t="shared" si="58"/>
        <v>66564</v>
      </c>
      <c r="G232" s="267">
        <f t="shared" si="61"/>
        <v>95</v>
      </c>
      <c r="H232" s="310">
        <f t="shared" si="62"/>
        <v>3.0661774661156551</v>
      </c>
      <c r="I232" s="274">
        <f t="shared" si="63"/>
        <v>2.8393726338561383E-3</v>
      </c>
      <c r="J232" s="275">
        <f t="shared" si="59"/>
        <v>8.7060203878351478E-3</v>
      </c>
      <c r="K232" s="274"/>
      <c r="L232" s="274"/>
      <c r="M232" s="275">
        <f t="shared" si="60"/>
        <v>0</v>
      </c>
    </row>
    <row r="233" spans="1:13" x14ac:dyDescent="0.25">
      <c r="A233" s="281">
        <f t="shared" si="54"/>
        <v>94</v>
      </c>
      <c r="B233" s="3" t="str">
        <f t="shared" si="55"/>
        <v>93 to 94</v>
      </c>
      <c r="C233" s="3">
        <f t="shared" si="56"/>
        <v>187</v>
      </c>
      <c r="D233" s="286">
        <f t="shared" si="57"/>
        <v>2.8093263625984014E-3</v>
      </c>
      <c r="E233" s="3">
        <f t="shared" si="58"/>
        <v>66564</v>
      </c>
      <c r="G233" s="267">
        <f t="shared" si="61"/>
        <v>94</v>
      </c>
      <c r="H233" s="310">
        <f t="shared" si="62"/>
        <v>3.0930991996881141</v>
      </c>
      <c r="I233" s="274">
        <f t="shared" si="63"/>
        <v>2.8093263625984014E-3</v>
      </c>
      <c r="J233" s="275">
        <f t="shared" si="59"/>
        <v>8.6895251238158361E-3</v>
      </c>
      <c r="K233" s="274"/>
      <c r="L233" s="274"/>
      <c r="M233" s="275">
        <f t="shared" si="60"/>
        <v>0</v>
      </c>
    </row>
    <row r="234" spans="1:13" x14ac:dyDescent="0.25">
      <c r="A234" s="281">
        <f t="shared" si="54"/>
        <v>93</v>
      </c>
      <c r="B234" s="3" t="str">
        <f t="shared" si="55"/>
        <v>92 to 93</v>
      </c>
      <c r="C234" s="3">
        <f t="shared" si="56"/>
        <v>185</v>
      </c>
      <c r="D234" s="286">
        <f t="shared" si="57"/>
        <v>2.7792800913406645E-3</v>
      </c>
      <c r="E234" s="3">
        <f t="shared" si="58"/>
        <v>66564</v>
      </c>
      <c r="G234" s="267">
        <f t="shared" si="61"/>
        <v>93</v>
      </c>
      <c r="H234" s="310">
        <f t="shared" si="62"/>
        <v>3.1203767997496632</v>
      </c>
      <c r="I234" s="274">
        <f t="shared" si="63"/>
        <v>2.7792800913406645E-3</v>
      </c>
      <c r="J234" s="275">
        <f t="shared" si="59"/>
        <v>8.6724011170255348E-3</v>
      </c>
      <c r="K234" s="274"/>
      <c r="L234" s="274"/>
      <c r="M234" s="275">
        <f t="shared" si="60"/>
        <v>0</v>
      </c>
    </row>
    <row r="235" spans="1:13" x14ac:dyDescent="0.25">
      <c r="A235" s="281">
        <f t="shared" si="54"/>
        <v>92</v>
      </c>
      <c r="B235" s="3" t="str">
        <f t="shared" si="55"/>
        <v>91 to 92</v>
      </c>
      <c r="C235" s="3">
        <f t="shared" si="56"/>
        <v>183</v>
      </c>
      <c r="D235" s="286">
        <f t="shared" si="57"/>
        <v>2.7492338200829276E-3</v>
      </c>
      <c r="E235" s="3">
        <f t="shared" si="58"/>
        <v>66564</v>
      </c>
      <c r="G235" s="267">
        <f t="shared" si="61"/>
        <v>92</v>
      </c>
      <c r="H235" s="310">
        <f t="shared" si="62"/>
        <v>3.148017568677743</v>
      </c>
      <c r="I235" s="274">
        <f t="shared" si="63"/>
        <v>2.7492338200829276E-3</v>
      </c>
      <c r="J235" s="275">
        <f t="shared" si="59"/>
        <v>8.6546363660240811E-3</v>
      </c>
      <c r="K235" s="274"/>
      <c r="L235" s="274"/>
      <c r="M235" s="275">
        <f t="shared" si="60"/>
        <v>0</v>
      </c>
    </row>
    <row r="236" spans="1:13" x14ac:dyDescent="0.25">
      <c r="A236" s="281">
        <f t="shared" si="54"/>
        <v>91</v>
      </c>
      <c r="B236" s="3" t="str">
        <f t="shared" si="55"/>
        <v>90 to 91</v>
      </c>
      <c r="C236" s="3">
        <f t="shared" si="56"/>
        <v>181</v>
      </c>
      <c r="D236" s="286">
        <f t="shared" si="57"/>
        <v>2.7191875488251907E-3</v>
      </c>
      <c r="E236" s="3">
        <f t="shared" si="58"/>
        <v>66564</v>
      </c>
      <c r="G236" s="267">
        <f t="shared" si="61"/>
        <v>91</v>
      </c>
      <c r="H236" s="310">
        <f t="shared" si="62"/>
        <v>3.176029039802533</v>
      </c>
      <c r="I236" s="274">
        <f t="shared" si="63"/>
        <v>2.7191875488251907E-3</v>
      </c>
      <c r="J236" s="275">
        <f t="shared" si="59"/>
        <v>8.6362186197382739E-3</v>
      </c>
      <c r="K236" s="274"/>
      <c r="L236" s="274"/>
      <c r="M236" s="275">
        <f t="shared" si="60"/>
        <v>0</v>
      </c>
    </row>
    <row r="237" spans="1:13" x14ac:dyDescent="0.25">
      <c r="A237" s="281">
        <f t="shared" si="54"/>
        <v>90</v>
      </c>
      <c r="B237" s="3" t="str">
        <f t="shared" si="55"/>
        <v>89 to 90</v>
      </c>
      <c r="C237" s="3">
        <f t="shared" si="56"/>
        <v>179</v>
      </c>
      <c r="D237" s="286">
        <f t="shared" si="57"/>
        <v>2.6891412775674538E-3</v>
      </c>
      <c r="E237" s="3">
        <f t="shared" si="58"/>
        <v>66564</v>
      </c>
      <c r="G237" s="267">
        <f t="shared" si="61"/>
        <v>90</v>
      </c>
      <c r="H237" s="310">
        <f t="shared" si="62"/>
        <v>3.2044189875961884</v>
      </c>
      <c r="I237" s="274">
        <f t="shared" si="63"/>
        <v>2.6891412775674538E-3</v>
      </c>
      <c r="J237" s="275">
        <f t="shared" si="59"/>
        <v>8.6171353701658213E-3</v>
      </c>
      <c r="K237" s="274"/>
      <c r="L237" s="274"/>
      <c r="M237" s="275">
        <f t="shared" si="60"/>
        <v>0</v>
      </c>
    </row>
    <row r="238" spans="1:13" x14ac:dyDescent="0.25">
      <c r="A238" s="281">
        <f t="shared" si="54"/>
        <v>89</v>
      </c>
      <c r="B238" s="3" t="str">
        <f t="shared" si="55"/>
        <v>88 to 89</v>
      </c>
      <c r="C238" s="3">
        <f t="shared" si="56"/>
        <v>177</v>
      </c>
      <c r="D238" s="286">
        <f t="shared" si="57"/>
        <v>2.6590950063097168E-3</v>
      </c>
      <c r="E238" s="3">
        <f t="shared" si="58"/>
        <v>66564</v>
      </c>
      <c r="G238" s="267">
        <f t="shared" si="61"/>
        <v>89</v>
      </c>
      <c r="H238" s="310">
        <f t="shared" si="62"/>
        <v>3.2331954384334378</v>
      </c>
      <c r="I238" s="274">
        <f t="shared" si="63"/>
        <v>2.6590950063097168E-3</v>
      </c>
      <c r="J238" s="275">
        <f t="shared" si="59"/>
        <v>8.5973738447617104E-3</v>
      </c>
      <c r="K238" s="274"/>
      <c r="L238" s="274"/>
      <c r="M238" s="275">
        <f t="shared" si="60"/>
        <v>0</v>
      </c>
    </row>
    <row r="239" spans="1:13" x14ac:dyDescent="0.25">
      <c r="A239" s="281">
        <f t="shared" si="54"/>
        <v>88</v>
      </c>
      <c r="B239" s="3" t="str">
        <f t="shared" si="55"/>
        <v>87 to 88</v>
      </c>
      <c r="C239" s="3">
        <f t="shared" si="56"/>
        <v>175</v>
      </c>
      <c r="D239" s="286">
        <f t="shared" si="57"/>
        <v>2.6290487350519799E-3</v>
      </c>
      <c r="E239" s="3">
        <f t="shared" si="58"/>
        <v>66564</v>
      </c>
      <c r="G239" s="267">
        <f t="shared" si="61"/>
        <v>88</v>
      </c>
      <c r="H239" s="310">
        <f t="shared" si="62"/>
        <v>3.2623666819623147</v>
      </c>
      <c r="I239" s="274">
        <f t="shared" si="63"/>
        <v>2.6290487350519799E-3</v>
      </c>
      <c r="J239" s="275">
        <f t="shared" si="59"/>
        <v>8.5769209984887483E-3</v>
      </c>
      <c r="K239" s="274"/>
      <c r="L239" s="274"/>
      <c r="M239" s="275">
        <f t="shared" si="60"/>
        <v>0</v>
      </c>
    </row>
    <row r="240" spans="1:13" x14ac:dyDescent="0.25">
      <c r="A240" s="281">
        <f t="shared" si="54"/>
        <v>87</v>
      </c>
      <c r="B240" s="3" t="str">
        <f t="shared" si="55"/>
        <v>86 to 87</v>
      </c>
      <c r="C240" s="3">
        <f t="shared" si="56"/>
        <v>173</v>
      </c>
      <c r="D240" s="286">
        <f t="shared" si="57"/>
        <v>2.599002463794243E-3</v>
      </c>
      <c r="E240" s="3">
        <f t="shared" si="58"/>
        <v>66564</v>
      </c>
      <c r="G240" s="267">
        <f t="shared" si="61"/>
        <v>87</v>
      </c>
      <c r="H240" s="310">
        <f t="shared" si="62"/>
        <v>3.2919412831269019</v>
      </c>
      <c r="I240" s="274">
        <f t="shared" si="63"/>
        <v>2.599002463794243E-3</v>
      </c>
      <c r="J240" s="275">
        <f t="shared" si="59"/>
        <v>8.5557635055127992E-3</v>
      </c>
      <c r="K240" s="274"/>
      <c r="L240" s="274"/>
      <c r="M240" s="275">
        <f t="shared" si="60"/>
        <v>0</v>
      </c>
    </row>
    <row r="241" spans="1:13" x14ac:dyDescent="0.25">
      <c r="A241" s="281">
        <f t="shared" si="54"/>
        <v>86</v>
      </c>
      <c r="B241" s="3" t="str">
        <f t="shared" si="55"/>
        <v>85 to 86</v>
      </c>
      <c r="C241" s="3">
        <f t="shared" si="56"/>
        <v>171</v>
      </c>
      <c r="D241" s="286">
        <f t="shared" si="57"/>
        <v>2.5689561925365061E-3</v>
      </c>
      <c r="E241" s="3">
        <f t="shared" si="58"/>
        <v>66564</v>
      </c>
      <c r="G241" s="267">
        <f t="shared" si="61"/>
        <v>86</v>
      </c>
      <c r="H241" s="310">
        <f t="shared" si="62"/>
        <v>3.3219280948873626</v>
      </c>
      <c r="I241" s="274">
        <f t="shared" si="63"/>
        <v>2.5689561925365061E-3</v>
      </c>
      <c r="J241" s="275">
        <f t="shared" si="59"/>
        <v>8.5338877505218881E-3</v>
      </c>
      <c r="K241" s="274"/>
      <c r="L241" s="274"/>
      <c r="M241" s="275">
        <f t="shared" si="60"/>
        <v>0</v>
      </c>
    </row>
    <row r="242" spans="1:13" x14ac:dyDescent="0.25">
      <c r="A242" s="281">
        <f t="shared" si="54"/>
        <v>85</v>
      </c>
      <c r="B242" s="3" t="str">
        <f t="shared" si="55"/>
        <v>84 to 85</v>
      </c>
      <c r="C242" s="3">
        <f t="shared" si="56"/>
        <v>169</v>
      </c>
      <c r="D242" s="286">
        <f t="shared" si="57"/>
        <v>2.5389099212787692E-3</v>
      </c>
      <c r="E242" s="3">
        <f t="shared" si="58"/>
        <v>66564</v>
      </c>
      <c r="G242" s="267">
        <f t="shared" si="61"/>
        <v>85</v>
      </c>
      <c r="H242" s="310">
        <f t="shared" si="62"/>
        <v>3.3523362716862146</v>
      </c>
      <c r="I242" s="274">
        <f t="shared" si="63"/>
        <v>2.5389099212787692E-3</v>
      </c>
      <c r="J242" s="275">
        <f t="shared" si="59"/>
        <v>8.5112798196468106E-3</v>
      </c>
      <c r="K242" s="274"/>
      <c r="L242" s="274"/>
      <c r="M242" s="275">
        <f t="shared" si="60"/>
        <v>0</v>
      </c>
    </row>
    <row r="243" spans="1:13" x14ac:dyDescent="0.25">
      <c r="A243" s="281">
        <f t="shared" si="54"/>
        <v>84</v>
      </c>
      <c r="B243" s="3" t="str">
        <f t="shared" si="55"/>
        <v>83 to 84</v>
      </c>
      <c r="C243" s="3">
        <f t="shared" si="56"/>
        <v>167</v>
      </c>
      <c r="D243" s="286">
        <f t="shared" si="57"/>
        <v>2.5088636500210323E-3</v>
      </c>
      <c r="E243" s="3">
        <f t="shared" si="58"/>
        <v>66564</v>
      </c>
      <c r="G243" s="267">
        <f t="shared" si="61"/>
        <v>84</v>
      </c>
      <c r="H243" s="310">
        <f t="shared" si="62"/>
        <v>3.3831752837139031</v>
      </c>
      <c r="I243" s="274">
        <f t="shared" si="63"/>
        <v>2.5088636500210323E-3</v>
      </c>
      <c r="J243" s="275">
        <f t="shared" si="59"/>
        <v>8.4879254909594037E-3</v>
      </c>
      <c r="K243" s="274">
        <v>0.01</v>
      </c>
      <c r="L243" s="274"/>
      <c r="M243" s="275">
        <f t="shared" si="60"/>
        <v>3.3831752837139031E-2</v>
      </c>
    </row>
    <row r="244" spans="1:13" x14ac:dyDescent="0.25">
      <c r="A244" s="281">
        <f t="shared" si="54"/>
        <v>83</v>
      </c>
      <c r="B244" s="3" t="str">
        <f t="shared" si="55"/>
        <v>82 to 83</v>
      </c>
      <c r="C244" s="3">
        <f t="shared" si="56"/>
        <v>165</v>
      </c>
      <c r="D244" s="286">
        <f t="shared" si="57"/>
        <v>2.4788173787632954E-3</v>
      </c>
      <c r="E244" s="3">
        <f t="shared" si="58"/>
        <v>66564</v>
      </c>
      <c r="G244" s="267">
        <f t="shared" si="61"/>
        <v>83</v>
      </c>
      <c r="H244" s="310">
        <f t="shared" si="62"/>
        <v>3.4144549320311195</v>
      </c>
      <c r="I244" s="274">
        <f t="shared" si="63"/>
        <v>2.4788173787632954E-3</v>
      </c>
      <c r="J244" s="275">
        <f t="shared" si="59"/>
        <v>8.4638102245227862E-3</v>
      </c>
      <c r="K244" s="274">
        <v>0.01</v>
      </c>
      <c r="L244" s="274"/>
      <c r="M244" s="275">
        <f t="shared" si="60"/>
        <v>3.4144549320311197E-2</v>
      </c>
    </row>
    <row r="245" spans="1:13" x14ac:dyDescent="0.25">
      <c r="A245" s="281">
        <f t="shared" si="54"/>
        <v>82</v>
      </c>
      <c r="B245" s="3" t="str">
        <f t="shared" si="55"/>
        <v>81 to 82</v>
      </c>
      <c r="C245" s="3">
        <f t="shared" si="56"/>
        <v>163</v>
      </c>
      <c r="D245" s="286">
        <f t="shared" si="57"/>
        <v>2.4487711075055585E-3</v>
      </c>
      <c r="E245" s="3">
        <f t="shared" si="58"/>
        <v>66564</v>
      </c>
      <c r="G245" s="267">
        <f t="shared" si="61"/>
        <v>82</v>
      </c>
      <c r="H245" s="310">
        <f t="shared" si="62"/>
        <v>3.4461853646102449</v>
      </c>
      <c r="I245" s="274">
        <f t="shared" si="63"/>
        <v>2.4487711075055585E-3</v>
      </c>
      <c r="J245" s="275">
        <f t="shared" si="59"/>
        <v>8.4389191519660765E-3</v>
      </c>
      <c r="K245" s="274">
        <v>0.01</v>
      </c>
      <c r="L245" s="274"/>
      <c r="M245" s="275">
        <f t="shared" si="60"/>
        <v>3.446185364610245E-2</v>
      </c>
    </row>
    <row r="246" spans="1:13" x14ac:dyDescent="0.25">
      <c r="A246" s="281">
        <f t="shared" si="54"/>
        <v>81</v>
      </c>
      <c r="B246" s="3" t="str">
        <f t="shared" si="55"/>
        <v>80 to 81</v>
      </c>
      <c r="C246" s="3">
        <f t="shared" si="56"/>
        <v>161</v>
      </c>
      <c r="D246" s="286">
        <f t="shared" si="57"/>
        <v>2.4187248362478216E-3</v>
      </c>
      <c r="E246" s="3">
        <f t="shared" si="58"/>
        <v>66564</v>
      </c>
      <c r="G246" s="267">
        <f t="shared" si="61"/>
        <v>81</v>
      </c>
      <c r="H246" s="310">
        <f t="shared" si="62"/>
        <v>3.4783770933636045</v>
      </c>
      <c r="I246" s="274">
        <f t="shared" si="63"/>
        <v>2.4187248362478216E-3</v>
      </c>
      <c r="J246" s="275">
        <f t="shared" si="59"/>
        <v>8.4132370655540575E-3</v>
      </c>
      <c r="K246" s="274">
        <v>0.01</v>
      </c>
      <c r="L246" s="274"/>
      <c r="M246" s="275">
        <f t="shared" si="60"/>
        <v>3.4783770933636042E-2</v>
      </c>
    </row>
    <row r="247" spans="1:13" x14ac:dyDescent="0.25">
      <c r="A247" s="281">
        <f t="shared" si="54"/>
        <v>80</v>
      </c>
      <c r="B247" s="3" t="str">
        <f t="shared" si="55"/>
        <v>79 to 80</v>
      </c>
      <c r="C247" s="3">
        <f t="shared" si="56"/>
        <v>159</v>
      </c>
      <c r="D247" s="286">
        <f t="shared" si="57"/>
        <v>2.3886785649900846E-3</v>
      </c>
      <c r="E247" s="3">
        <f t="shared" si="58"/>
        <v>66564</v>
      </c>
      <c r="G247" s="267">
        <f t="shared" si="61"/>
        <v>80</v>
      </c>
      <c r="H247" s="310">
        <f t="shared" si="62"/>
        <v>3.5110410122321363</v>
      </c>
      <c r="I247" s="274">
        <f t="shared" si="63"/>
        <v>2.3886785649900846E-3</v>
      </c>
      <c r="J247" s="275">
        <f t="shared" si="59"/>
        <v>8.3867484067199939E-3</v>
      </c>
      <c r="K247" s="274">
        <v>0.01</v>
      </c>
      <c r="L247" s="274"/>
      <c r="M247" s="275">
        <f t="shared" si="60"/>
        <v>3.5110410122321363E-2</v>
      </c>
    </row>
    <row r="248" spans="1:13" x14ac:dyDescent="0.25">
      <c r="A248" s="281">
        <f t="shared" si="54"/>
        <v>79</v>
      </c>
      <c r="B248" s="3" t="str">
        <f t="shared" si="55"/>
        <v>78 to 79</v>
      </c>
      <c r="C248" s="3">
        <f t="shared" si="56"/>
        <v>157</v>
      </c>
      <c r="D248" s="286">
        <f t="shared" si="57"/>
        <v>2.3586322937323477E-3</v>
      </c>
      <c r="E248" s="3">
        <f t="shared" si="58"/>
        <v>66564</v>
      </c>
      <c r="G248" s="267">
        <f t="shared" si="61"/>
        <v>79</v>
      </c>
      <c r="H248" s="310">
        <f t="shared" si="62"/>
        <v>3.5441884164145492</v>
      </c>
      <c r="I248" s="274">
        <f t="shared" si="63"/>
        <v>2.3586322937323477E-3</v>
      </c>
      <c r="J248" s="275">
        <f t="shared" si="59"/>
        <v>8.3594372540274648E-3</v>
      </c>
      <c r="K248" s="274">
        <v>0.01</v>
      </c>
      <c r="L248" s="274"/>
      <c r="M248" s="275">
        <f t="shared" si="60"/>
        <v>3.5441884164145496E-2</v>
      </c>
    </row>
    <row r="249" spans="1:13" x14ac:dyDescent="0.25">
      <c r="A249" s="281">
        <f t="shared" si="54"/>
        <v>78</v>
      </c>
      <c r="B249" s="3" t="str">
        <f t="shared" si="55"/>
        <v>77 to 78</v>
      </c>
      <c r="C249" s="3">
        <f t="shared" si="56"/>
        <v>155</v>
      </c>
      <c r="D249" s="286">
        <f t="shared" si="57"/>
        <v>2.3285860224746108E-3</v>
      </c>
      <c r="E249" s="3">
        <f t="shared" si="58"/>
        <v>66564</v>
      </c>
      <c r="G249" s="267">
        <f t="shared" si="61"/>
        <v>78</v>
      </c>
      <c r="H249" s="310">
        <f t="shared" si="62"/>
        <v>3.577831022824173</v>
      </c>
      <c r="I249" s="274">
        <f t="shared" si="63"/>
        <v>2.3285860224746108E-3</v>
      </c>
      <c r="J249" s="275">
        <f t="shared" si="59"/>
        <v>8.3312873105244097E-3</v>
      </c>
      <c r="K249" s="274">
        <v>0.01</v>
      </c>
      <c r="L249" s="274"/>
      <c r="M249" s="275">
        <f t="shared" si="60"/>
        <v>3.5778310228241732E-2</v>
      </c>
    </row>
    <row r="250" spans="1:13" x14ac:dyDescent="0.25">
      <c r="A250" s="281">
        <f t="shared" si="54"/>
        <v>77</v>
      </c>
      <c r="B250" s="3" t="str">
        <f t="shared" si="55"/>
        <v>76 to 77</v>
      </c>
      <c r="C250" s="3">
        <f t="shared" si="56"/>
        <v>153</v>
      </c>
      <c r="D250" s="286">
        <f t="shared" si="57"/>
        <v>2.2985397512168739E-3</v>
      </c>
      <c r="E250" s="3">
        <f t="shared" si="58"/>
        <v>66564</v>
      </c>
      <c r="G250" s="267">
        <f t="shared" si="61"/>
        <v>77</v>
      </c>
      <c r="H250" s="310">
        <f t="shared" si="62"/>
        <v>3.6119809918686117</v>
      </c>
      <c r="I250" s="274">
        <f t="shared" si="63"/>
        <v>2.2985397512168739E-3</v>
      </c>
      <c r="J250" s="275">
        <f t="shared" si="59"/>
        <v>8.3022818904497555E-3</v>
      </c>
      <c r="K250" s="274">
        <v>0.01</v>
      </c>
      <c r="L250" s="274"/>
      <c r="M250" s="275">
        <f t="shared" si="60"/>
        <v>3.6119809918686116E-2</v>
      </c>
    </row>
    <row r="251" spans="1:13" x14ac:dyDescent="0.25">
      <c r="A251" s="281">
        <f t="shared" si="54"/>
        <v>76</v>
      </c>
      <c r="B251" s="3" t="str">
        <f t="shared" si="55"/>
        <v>75 to 76</v>
      </c>
      <c r="C251" s="3">
        <f t="shared" si="56"/>
        <v>151</v>
      </c>
      <c r="D251" s="286">
        <f t="shared" si="57"/>
        <v>2.268493479959137E-3</v>
      </c>
      <c r="E251" s="3">
        <f t="shared" si="58"/>
        <v>66564</v>
      </c>
      <c r="G251" s="267">
        <f t="shared" si="61"/>
        <v>76</v>
      </c>
      <c r="H251" s="310">
        <f t="shared" si="62"/>
        <v>3.6466509506559657</v>
      </c>
      <c r="I251" s="274">
        <f t="shared" si="63"/>
        <v>2.268493479959137E-3</v>
      </c>
      <c r="J251" s="275">
        <f t="shared" si="59"/>
        <v>8.2724039052498467E-3</v>
      </c>
      <c r="K251" s="274">
        <v>0.01</v>
      </c>
      <c r="L251" s="274"/>
      <c r="M251" s="275">
        <f t="shared" si="60"/>
        <v>3.6466509506559656E-2</v>
      </c>
    </row>
    <row r="252" spans="1:13" x14ac:dyDescent="0.25">
      <c r="A252" s="281">
        <f t="shared" si="54"/>
        <v>75</v>
      </c>
      <c r="B252" s="3" t="str">
        <f t="shared" si="55"/>
        <v>74 to 75</v>
      </c>
      <c r="C252" s="3">
        <f t="shared" si="56"/>
        <v>149</v>
      </c>
      <c r="D252" s="286">
        <f t="shared" si="57"/>
        <v>2.2384472087014001E-3</v>
      </c>
      <c r="E252" s="3">
        <f t="shared" si="58"/>
        <v>66564</v>
      </c>
      <c r="G252" s="267">
        <f t="shared" si="61"/>
        <v>75</v>
      </c>
      <c r="H252" s="310">
        <f t="shared" si="62"/>
        <v>3.681854017741061</v>
      </c>
      <c r="I252" s="274">
        <f t="shared" si="63"/>
        <v>2.2384472087014001E-3</v>
      </c>
      <c r="J252" s="275">
        <f t="shared" si="59"/>
        <v>8.2416358488585136E-3</v>
      </c>
      <c r="K252" s="274">
        <v>0.01</v>
      </c>
      <c r="L252" s="274"/>
      <c r="M252" s="275">
        <f t="shared" si="60"/>
        <v>3.6818540177410611E-2</v>
      </c>
    </row>
    <row r="253" spans="1:13" x14ac:dyDescent="0.25">
      <c r="A253" s="281">
        <f t="shared" si="54"/>
        <v>74</v>
      </c>
      <c r="B253" s="3" t="str">
        <f t="shared" si="55"/>
        <v>73 to 74</v>
      </c>
      <c r="C253" s="3">
        <f t="shared" si="56"/>
        <v>147</v>
      </c>
      <c r="D253" s="286">
        <f t="shared" si="57"/>
        <v>2.2084009374436632E-3</v>
      </c>
      <c r="E253" s="3">
        <f t="shared" si="58"/>
        <v>66564</v>
      </c>
      <c r="G253" s="267">
        <f t="shared" si="61"/>
        <v>74</v>
      </c>
      <c r="H253" s="310">
        <f t="shared" si="62"/>
        <v>3.7176038295357388</v>
      </c>
      <c r="I253" s="274">
        <f t="shared" si="63"/>
        <v>2.2084009374436632E-3</v>
      </c>
      <c r="J253" s="275">
        <f t="shared" si="59"/>
        <v>8.2099597821908774E-3</v>
      </c>
      <c r="K253" s="274">
        <v>0.01</v>
      </c>
      <c r="L253" s="274"/>
      <c r="M253" s="275">
        <f t="shared" si="60"/>
        <v>3.7176038295357386E-2</v>
      </c>
    </row>
    <row r="254" spans="1:13" x14ac:dyDescent="0.25">
      <c r="A254" s="281">
        <f t="shared" si="54"/>
        <v>73</v>
      </c>
      <c r="B254" s="3" t="str">
        <f t="shared" si="55"/>
        <v>72 to 73</v>
      </c>
      <c r="C254" s="3">
        <f t="shared" si="56"/>
        <v>145</v>
      </c>
      <c r="D254" s="286">
        <f t="shared" si="57"/>
        <v>2.1783546661859263E-3</v>
      </c>
      <c r="E254" s="3">
        <f t="shared" si="58"/>
        <v>66564</v>
      </c>
      <c r="G254" s="267">
        <f t="shared" si="61"/>
        <v>73</v>
      </c>
      <c r="H254" s="310">
        <f t="shared" si="62"/>
        <v>3.7539145685191069</v>
      </c>
      <c r="I254" s="274">
        <f t="shared" si="63"/>
        <v>2.1783546661859263E-3</v>
      </c>
      <c r="J254" s="275">
        <f t="shared" si="59"/>
        <v>8.1773573167969252E-3</v>
      </c>
      <c r="K254" s="274">
        <v>0.01</v>
      </c>
      <c r="L254" s="274"/>
      <c r="M254" s="275">
        <f t="shared" si="60"/>
        <v>3.7539145685191067E-2</v>
      </c>
    </row>
    <row r="255" spans="1:13" x14ac:dyDescent="0.25">
      <c r="A255" s="281">
        <f t="shared" si="54"/>
        <v>72</v>
      </c>
      <c r="B255" s="3" t="str">
        <f t="shared" si="55"/>
        <v>71 to 72</v>
      </c>
      <c r="C255" s="3">
        <f t="shared" si="56"/>
        <v>143</v>
      </c>
      <c r="D255" s="286">
        <f t="shared" si="57"/>
        <v>2.1483083949281894E-3</v>
      </c>
      <c r="E255" s="3">
        <f t="shared" si="58"/>
        <v>66564</v>
      </c>
      <c r="G255" s="267">
        <f t="shared" si="61"/>
        <v>72</v>
      </c>
      <c r="H255" s="310">
        <f t="shared" si="62"/>
        <v>3.7908009933967457</v>
      </c>
      <c r="I255" s="274">
        <f t="shared" si="63"/>
        <v>2.1483083949281894E-3</v>
      </c>
      <c r="J255" s="275">
        <f t="shared" si="59"/>
        <v>8.1438095976163489E-3</v>
      </c>
      <c r="K255" s="274">
        <v>0.01</v>
      </c>
      <c r="L255" s="274"/>
      <c r="M255" s="275">
        <f t="shared" si="60"/>
        <v>3.7908009933967458E-2</v>
      </c>
    </row>
    <row r="256" spans="1:13" x14ac:dyDescent="0.25">
      <c r="A256" s="281">
        <f t="shared" si="54"/>
        <v>71</v>
      </c>
      <c r="B256" s="3" t="str">
        <f t="shared" si="55"/>
        <v>70 to 71</v>
      </c>
      <c r="C256" s="3">
        <f t="shared" si="56"/>
        <v>141</v>
      </c>
      <c r="D256" s="286">
        <f t="shared" si="57"/>
        <v>2.1182621236704524E-3</v>
      </c>
      <c r="E256" s="3">
        <f t="shared" si="58"/>
        <v>66564</v>
      </c>
      <c r="G256" s="267">
        <f t="shared" si="61"/>
        <v>71</v>
      </c>
      <c r="H256" s="310">
        <f t="shared" si="62"/>
        <v>3.8282784713724802</v>
      </c>
      <c r="I256" s="274">
        <f t="shared" si="63"/>
        <v>2.1182621236704524E-3</v>
      </c>
      <c r="J256" s="275">
        <f t="shared" si="59"/>
        <v>8.1092972847713433E-3</v>
      </c>
      <c r="K256" s="274">
        <v>0.01</v>
      </c>
      <c r="L256" s="274"/>
      <c r="M256" s="275">
        <f t="shared" si="60"/>
        <v>3.8282784713724802E-2</v>
      </c>
    </row>
    <row r="257" spans="1:13" x14ac:dyDescent="0.25">
      <c r="A257" s="281">
        <f t="shared" si="54"/>
        <v>70</v>
      </c>
      <c r="B257" s="3" t="str">
        <f t="shared" si="55"/>
        <v>69 to 70</v>
      </c>
      <c r="C257" s="3">
        <f t="shared" si="56"/>
        <v>139</v>
      </c>
      <c r="D257" s="286">
        <f t="shared" si="57"/>
        <v>2.0882158524127155E-3</v>
      </c>
      <c r="E257" s="3">
        <f t="shared" si="58"/>
        <v>66564</v>
      </c>
      <c r="G257" s="267">
        <f t="shared" si="61"/>
        <v>70</v>
      </c>
      <c r="H257" s="310">
        <f t="shared" si="62"/>
        <v>3.8663630127125459</v>
      </c>
      <c r="I257" s="274">
        <f t="shared" si="63"/>
        <v>2.0882158524127155E-3</v>
      </c>
      <c r="J257" s="275">
        <f t="shared" si="59"/>
        <v>8.0738005343285232E-3</v>
      </c>
      <c r="K257" s="274">
        <v>0.01</v>
      </c>
      <c r="L257" s="274"/>
      <c r="M257" s="275">
        <f t="shared" si="60"/>
        <v>3.866363012712546E-2</v>
      </c>
    </row>
    <row r="258" spans="1:13" x14ac:dyDescent="0.25">
      <c r="A258" s="281">
        <f t="shared" si="54"/>
        <v>69</v>
      </c>
      <c r="B258" s="3" t="str">
        <f t="shared" si="55"/>
        <v>68 to 69</v>
      </c>
      <c r="C258" s="3">
        <f t="shared" si="56"/>
        <v>137</v>
      </c>
      <c r="D258" s="286">
        <f t="shared" si="57"/>
        <v>2.0581695811549786E-3</v>
      </c>
      <c r="E258" s="3">
        <f t="shared" si="58"/>
        <v>66564</v>
      </c>
      <c r="G258" s="267">
        <f t="shared" si="61"/>
        <v>69</v>
      </c>
      <c r="H258" s="310">
        <f t="shared" si="62"/>
        <v>3.9050713078001063</v>
      </c>
      <c r="I258" s="274">
        <f t="shared" si="63"/>
        <v>2.0581695811549786E-3</v>
      </c>
      <c r="J258" s="275">
        <f t="shared" si="59"/>
        <v>8.0372989779552689E-3</v>
      </c>
      <c r="K258" s="274">
        <v>0.01</v>
      </c>
      <c r="L258" s="274"/>
      <c r="M258" s="275">
        <f t="shared" si="60"/>
        <v>3.9050713078001065E-2</v>
      </c>
    </row>
    <row r="259" spans="1:13" x14ac:dyDescent="0.25">
      <c r="A259" s="281">
        <f t="shared" si="54"/>
        <v>68</v>
      </c>
      <c r="B259" s="3" t="str">
        <f t="shared" si="55"/>
        <v>67 to 68</v>
      </c>
      <c r="C259" s="3">
        <f t="shared" si="56"/>
        <v>135</v>
      </c>
      <c r="D259" s="286">
        <f t="shared" si="57"/>
        <v>2.0281233098972417E-3</v>
      </c>
      <c r="E259" s="3">
        <f t="shared" si="58"/>
        <v>66564</v>
      </c>
      <c r="G259" s="267">
        <f t="shared" si="61"/>
        <v>68</v>
      </c>
      <c r="H259" s="310">
        <f t="shared" si="62"/>
        <v>3.9444207668983129</v>
      </c>
      <c r="I259" s="274">
        <f t="shared" si="63"/>
        <v>2.0281233098972417E-3</v>
      </c>
      <c r="J259" s="275">
        <f t="shared" si="59"/>
        <v>7.999771701389222E-3</v>
      </c>
      <c r="K259" s="274">
        <v>0.01</v>
      </c>
      <c r="L259" s="274"/>
      <c r="M259" s="275">
        <f t="shared" si="60"/>
        <v>3.9444207668983128E-2</v>
      </c>
    </row>
    <row r="260" spans="1:13" x14ac:dyDescent="0.25">
      <c r="A260" s="281">
        <f t="shared" si="54"/>
        <v>67</v>
      </c>
      <c r="B260" s="3" t="str">
        <f t="shared" si="55"/>
        <v>66 to 67</v>
      </c>
      <c r="C260" s="3">
        <f t="shared" si="56"/>
        <v>133</v>
      </c>
      <c r="D260" s="286">
        <f t="shared" si="57"/>
        <v>1.9980770386395048E-3</v>
      </c>
      <c r="E260" s="3">
        <f t="shared" si="58"/>
        <v>66564</v>
      </c>
      <c r="G260" s="267">
        <f t="shared" si="61"/>
        <v>67</v>
      </c>
      <c r="H260" s="310">
        <f t="shared" si="62"/>
        <v>3.9844295628627089</v>
      </c>
      <c r="I260" s="274">
        <f t="shared" si="63"/>
        <v>1.9980770386395048E-3</v>
      </c>
      <c r="J260" s="275">
        <f t="shared" si="59"/>
        <v>7.9611972216324187E-3</v>
      </c>
      <c r="K260" s="274">
        <v>0.01</v>
      </c>
      <c r="L260" s="274"/>
      <c r="M260" s="275">
        <f t="shared" si="60"/>
        <v>3.984429562862709E-2</v>
      </c>
    </row>
    <row r="261" spans="1:13" x14ac:dyDescent="0.25">
      <c r="A261" s="281">
        <f t="shared" ref="A261:A324" si="64">A262+1</f>
        <v>66</v>
      </c>
      <c r="B261" s="3" t="str">
        <f t="shared" ref="B261:B324" si="65">(A261-1) &amp; " to " &amp;A261</f>
        <v>65 to 66</v>
      </c>
      <c r="C261" s="3">
        <f t="shared" ref="C261:C326" si="66">2*A261-1</f>
        <v>131</v>
      </c>
      <c r="D261" s="286">
        <f t="shared" ref="D261:D324" si="67">(2*A261-1)/E261</f>
        <v>1.9680307673817679E-3</v>
      </c>
      <c r="E261" s="3">
        <f t="shared" ref="E261:E324" si="68">E262</f>
        <v>66564</v>
      </c>
      <c r="G261" s="267">
        <f t="shared" si="61"/>
        <v>66</v>
      </c>
      <c r="H261" s="310">
        <f t="shared" si="62"/>
        <v>4.0251166770691444</v>
      </c>
      <c r="I261" s="274">
        <f t="shared" si="63"/>
        <v>1.9680307673817679E-3</v>
      </c>
      <c r="J261" s="275">
        <f t="shared" ref="J261:J324" si="69">I261*$H261</f>
        <v>7.9215534627735396E-3</v>
      </c>
      <c r="K261" s="274">
        <v>0.01</v>
      </c>
      <c r="L261" s="274"/>
      <c r="M261" s="275">
        <f t="shared" ref="M261:M324" si="70">K261*$H261</f>
        <v>4.0251166770691446E-2</v>
      </c>
    </row>
    <row r="262" spans="1:13" x14ac:dyDescent="0.25">
      <c r="A262" s="281">
        <f t="shared" si="64"/>
        <v>65</v>
      </c>
      <c r="B262" s="3" t="str">
        <f t="shared" si="65"/>
        <v>64 to 65</v>
      </c>
      <c r="C262" s="3">
        <f t="shared" si="66"/>
        <v>129</v>
      </c>
      <c r="D262" s="286">
        <f t="shared" si="67"/>
        <v>1.937984496124031E-3</v>
      </c>
      <c r="E262" s="3">
        <f t="shared" si="68"/>
        <v>66564</v>
      </c>
      <c r="G262" s="267">
        <f t="shared" si="61"/>
        <v>65</v>
      </c>
      <c r="H262" s="310">
        <f t="shared" si="62"/>
        <v>4.0665019488518173</v>
      </c>
      <c r="I262" s="274">
        <f t="shared" si="63"/>
        <v>1.937984496124031E-3</v>
      </c>
      <c r="J262" s="275">
        <f t="shared" si="69"/>
        <v>7.8808177303329799E-3</v>
      </c>
      <c r="K262" s="274">
        <v>0.01</v>
      </c>
      <c r="L262" s="274"/>
      <c r="M262" s="275">
        <f t="shared" si="70"/>
        <v>4.0665019488518174E-2</v>
      </c>
    </row>
    <row r="263" spans="1:13" x14ac:dyDescent="0.25">
      <c r="A263" s="281">
        <f t="shared" si="64"/>
        <v>64</v>
      </c>
      <c r="B263" s="3" t="str">
        <f t="shared" si="65"/>
        <v>63 to 64</v>
      </c>
      <c r="C263" s="3">
        <f t="shared" si="66"/>
        <v>127</v>
      </c>
      <c r="D263" s="286">
        <f t="shared" si="67"/>
        <v>1.9079382248662941E-3</v>
      </c>
      <c r="E263" s="3">
        <f t="shared" si="68"/>
        <v>66564</v>
      </c>
      <c r="G263" s="267">
        <f t="shared" ref="G263:G326" si="71">A263</f>
        <v>64</v>
      </c>
      <c r="H263" s="310">
        <f t="shared" ref="H263:H326" si="72">LOG(1+E263/A263^2,2)</f>
        <v>4.1086061287780149</v>
      </c>
      <c r="I263" s="274">
        <f t="shared" ref="I263:I326" si="73">D263</f>
        <v>1.9079382248662941E-3</v>
      </c>
      <c r="J263" s="275">
        <f t="shared" si="69"/>
        <v>7.8389666840155015E-3</v>
      </c>
      <c r="K263" s="274">
        <v>0.01</v>
      </c>
      <c r="L263" s="274"/>
      <c r="M263" s="275">
        <f t="shared" si="70"/>
        <v>4.1086061287780147E-2</v>
      </c>
    </row>
    <row r="264" spans="1:13" x14ac:dyDescent="0.25">
      <c r="A264" s="281">
        <f t="shared" si="64"/>
        <v>63</v>
      </c>
      <c r="B264" s="3" t="str">
        <f t="shared" si="65"/>
        <v>62 to 63</v>
      </c>
      <c r="C264" s="3">
        <f t="shared" si="66"/>
        <v>125</v>
      </c>
      <c r="D264" s="286">
        <f t="shared" si="67"/>
        <v>1.8778919536085572E-3</v>
      </c>
      <c r="E264" s="3">
        <f t="shared" si="68"/>
        <v>66564</v>
      </c>
      <c r="G264" s="267">
        <f t="shared" si="71"/>
        <v>63</v>
      </c>
      <c r="H264" s="310">
        <f t="shared" si="72"/>
        <v>4.1514509361221572</v>
      </c>
      <c r="I264" s="274">
        <f t="shared" si="73"/>
        <v>1.8778919536085572E-3</v>
      </c>
      <c r="J264" s="275">
        <f t="shared" si="69"/>
        <v>7.7959763087445113E-3</v>
      </c>
      <c r="K264" s="274">
        <v>0.01</v>
      </c>
      <c r="L264" s="274"/>
      <c r="M264" s="275">
        <f t="shared" si="70"/>
        <v>4.1514509361221572E-2</v>
      </c>
    </row>
    <row r="265" spans="1:13" x14ac:dyDescent="0.25">
      <c r="A265" s="281">
        <f t="shared" si="64"/>
        <v>62</v>
      </c>
      <c r="B265" s="3" t="str">
        <f t="shared" si="65"/>
        <v>61 to 62</v>
      </c>
      <c r="C265" s="3">
        <f t="shared" si="66"/>
        <v>123</v>
      </c>
      <c r="D265" s="286">
        <f t="shared" si="67"/>
        <v>1.8478456823508202E-3</v>
      </c>
      <c r="E265" s="3">
        <f t="shared" si="68"/>
        <v>66564</v>
      </c>
      <c r="G265" s="267">
        <f t="shared" si="71"/>
        <v>62</v>
      </c>
      <c r="H265" s="310">
        <f t="shared" si="72"/>
        <v>4.1950591209423385</v>
      </c>
      <c r="I265" s="274">
        <f t="shared" si="73"/>
        <v>1.8478456823508202E-3</v>
      </c>
      <c r="J265" s="275">
        <f t="shared" si="69"/>
        <v>7.7518218838397279E-3</v>
      </c>
      <c r="K265" s="274">
        <v>0.01</v>
      </c>
      <c r="L265" s="274"/>
      <c r="M265" s="275">
        <f t="shared" si="70"/>
        <v>4.1950591209423384E-2</v>
      </c>
    </row>
    <row r="266" spans="1:13" x14ac:dyDescent="0.25">
      <c r="A266" s="281">
        <f t="shared" si="64"/>
        <v>61</v>
      </c>
      <c r="B266" s="3" t="str">
        <f t="shared" si="65"/>
        <v>60 to 61</v>
      </c>
      <c r="C266" s="3">
        <f t="shared" si="66"/>
        <v>121</v>
      </c>
      <c r="D266" s="286">
        <f t="shared" si="67"/>
        <v>1.8177994110930833E-3</v>
      </c>
      <c r="E266" s="3">
        <f t="shared" si="68"/>
        <v>66564</v>
      </c>
      <c r="G266" s="267">
        <f t="shared" si="71"/>
        <v>61</v>
      </c>
      <c r="H266" s="310">
        <f t="shared" si="72"/>
        <v>4.2394545312084819</v>
      </c>
      <c r="I266" s="274">
        <f t="shared" si="73"/>
        <v>1.8177994110930833E-3</v>
      </c>
      <c r="J266" s="275">
        <f t="shared" si="69"/>
        <v>7.7064779501866817E-3</v>
      </c>
      <c r="K266" s="274">
        <v>0.01</v>
      </c>
      <c r="L266" s="274"/>
      <c r="M266" s="275">
        <f t="shared" si="70"/>
        <v>4.2394545312084822E-2</v>
      </c>
    </row>
    <row r="267" spans="1:13" x14ac:dyDescent="0.25">
      <c r="A267" s="281">
        <f t="shared" si="64"/>
        <v>60</v>
      </c>
      <c r="B267" s="3" t="str">
        <f t="shared" si="65"/>
        <v>59 to 60</v>
      </c>
      <c r="C267" s="3">
        <f t="shared" si="66"/>
        <v>119</v>
      </c>
      <c r="D267" s="286">
        <f t="shared" si="67"/>
        <v>1.7877531398353464E-3</v>
      </c>
      <c r="E267" s="3">
        <f t="shared" si="68"/>
        <v>66564</v>
      </c>
      <c r="G267" s="267">
        <f t="shared" si="71"/>
        <v>60</v>
      </c>
      <c r="H267" s="310">
        <f t="shared" si="72"/>
        <v>4.2846621854831648</v>
      </c>
      <c r="I267" s="274">
        <f t="shared" si="73"/>
        <v>1.7877531398353464E-3</v>
      </c>
      <c r="J267" s="275">
        <f t="shared" si="69"/>
        <v>7.6599182752313056E-3</v>
      </c>
      <c r="K267" s="274">
        <v>0.01</v>
      </c>
      <c r="L267" s="274"/>
      <c r="M267" s="275">
        <f t="shared" si="70"/>
        <v>4.2846621854831651E-2</v>
      </c>
    </row>
    <row r="268" spans="1:13" x14ac:dyDescent="0.25">
      <c r="A268" s="281">
        <f t="shared" si="64"/>
        <v>59</v>
      </c>
      <c r="B268" s="3" t="str">
        <f t="shared" si="65"/>
        <v>58 to 59</v>
      </c>
      <c r="C268" s="3">
        <f t="shared" si="66"/>
        <v>117</v>
      </c>
      <c r="D268" s="286">
        <f t="shared" si="67"/>
        <v>1.7577068685776095E-3</v>
      </c>
      <c r="E268" s="3">
        <f t="shared" si="68"/>
        <v>66564</v>
      </c>
      <c r="G268" s="267">
        <f t="shared" si="71"/>
        <v>59</v>
      </c>
      <c r="H268" s="310">
        <f t="shared" si="72"/>
        <v>4.3307083517151668</v>
      </c>
      <c r="I268" s="274">
        <f t="shared" si="73"/>
        <v>1.7577068685776095E-3</v>
      </c>
      <c r="J268" s="275">
        <f t="shared" si="69"/>
        <v>7.6121158156161666E-3</v>
      </c>
      <c r="K268" s="274">
        <v>0.01</v>
      </c>
      <c r="L268" s="274"/>
      <c r="M268" s="275">
        <f t="shared" si="70"/>
        <v>4.3307083517151672E-2</v>
      </c>
    </row>
    <row r="269" spans="1:13" x14ac:dyDescent="0.25">
      <c r="A269" s="281">
        <f t="shared" si="64"/>
        <v>58</v>
      </c>
      <c r="B269" s="3" t="str">
        <f t="shared" si="65"/>
        <v>57 to 58</v>
      </c>
      <c r="C269" s="3">
        <f t="shared" si="66"/>
        <v>115</v>
      </c>
      <c r="D269" s="286">
        <f t="shared" si="67"/>
        <v>1.7276605973198726E-3</v>
      </c>
      <c r="E269" s="3">
        <f t="shared" si="68"/>
        <v>66564</v>
      </c>
      <c r="G269" s="267">
        <f t="shared" si="71"/>
        <v>58</v>
      </c>
      <c r="H269" s="310">
        <f t="shared" si="72"/>
        <v>4.3776206327727643</v>
      </c>
      <c r="I269" s="274">
        <f t="shared" si="73"/>
        <v>1.7276605973198726E-3</v>
      </c>
      <c r="J269" s="275">
        <f t="shared" si="69"/>
        <v>7.5630426772559925E-3</v>
      </c>
      <c r="K269" s="274">
        <v>0.01</v>
      </c>
      <c r="L269" s="274"/>
      <c r="M269" s="275">
        <f t="shared" si="70"/>
        <v>4.3776206327727642E-2</v>
      </c>
    </row>
    <row r="270" spans="1:13" x14ac:dyDescent="0.25">
      <c r="A270" s="281">
        <f t="shared" si="64"/>
        <v>57</v>
      </c>
      <c r="B270" s="3" t="str">
        <f t="shared" si="65"/>
        <v>56 to 57</v>
      </c>
      <c r="C270" s="3">
        <f t="shared" si="66"/>
        <v>113</v>
      </c>
      <c r="D270" s="286">
        <f t="shared" si="67"/>
        <v>1.6976143260621357E-3</v>
      </c>
      <c r="E270" s="3">
        <f t="shared" si="68"/>
        <v>66564</v>
      </c>
      <c r="G270" s="267">
        <f t="shared" si="71"/>
        <v>57</v>
      </c>
      <c r="H270" s="310">
        <f t="shared" si="72"/>
        <v>4.4254280594202129</v>
      </c>
      <c r="I270" s="274">
        <f t="shared" si="73"/>
        <v>1.6976143260621357E-3</v>
      </c>
      <c r="J270" s="275">
        <f t="shared" si="69"/>
        <v>7.5126700726291093E-3</v>
      </c>
      <c r="K270" s="274">
        <v>0.01</v>
      </c>
      <c r="L270" s="274"/>
      <c r="M270" s="275">
        <f t="shared" si="70"/>
        <v>4.4254280594202132E-2</v>
      </c>
    </row>
    <row r="271" spans="1:13" x14ac:dyDescent="0.25">
      <c r="A271" s="281">
        <f t="shared" si="64"/>
        <v>56</v>
      </c>
      <c r="B271" s="3" t="str">
        <f t="shared" si="65"/>
        <v>55 to 56</v>
      </c>
      <c r="C271" s="3">
        <f t="shared" si="66"/>
        <v>111</v>
      </c>
      <c r="D271" s="286">
        <f t="shared" si="67"/>
        <v>1.6675680548043988E-3</v>
      </c>
      <c r="E271" s="3">
        <f t="shared" si="68"/>
        <v>66564</v>
      </c>
      <c r="G271" s="267">
        <f t="shared" si="71"/>
        <v>56</v>
      </c>
      <c r="H271" s="310">
        <f t="shared" si="72"/>
        <v>4.4741611915279398</v>
      </c>
      <c r="I271" s="274">
        <f t="shared" si="73"/>
        <v>1.6675680548043988E-3</v>
      </c>
      <c r="J271" s="275">
        <f t="shared" si="69"/>
        <v>7.4609682750375779E-3</v>
      </c>
      <c r="K271" s="274">
        <v>0.01</v>
      </c>
      <c r="L271" s="274"/>
      <c r="M271" s="275">
        <f t="shared" si="70"/>
        <v>4.4741611915279401E-2</v>
      </c>
    </row>
    <row r="272" spans="1:13" x14ac:dyDescent="0.25">
      <c r="A272" s="281">
        <f t="shared" si="64"/>
        <v>55</v>
      </c>
      <c r="B272" s="3" t="str">
        <f t="shared" si="65"/>
        <v>54 to 55</v>
      </c>
      <c r="C272" s="3">
        <f t="shared" si="66"/>
        <v>109</v>
      </c>
      <c r="D272" s="286">
        <f t="shared" si="67"/>
        <v>1.6375217835466619E-3</v>
      </c>
      <c r="E272" s="3">
        <f t="shared" si="68"/>
        <v>66564</v>
      </c>
      <c r="G272" s="267">
        <f t="shared" si="71"/>
        <v>55</v>
      </c>
      <c r="H272" s="310">
        <f t="shared" si="72"/>
        <v>4.523852228406767</v>
      </c>
      <c r="I272" s="274">
        <f t="shared" si="73"/>
        <v>1.6375217835466619E-3</v>
      </c>
      <c r="J272" s="275">
        <f t="shared" si="69"/>
        <v>7.4079065695621896E-3</v>
      </c>
      <c r="K272" s="274">
        <v>0.01</v>
      </c>
      <c r="L272" s="274"/>
      <c r="M272" s="275">
        <f t="shared" si="70"/>
        <v>4.5238522284067668E-2</v>
      </c>
    </row>
    <row r="273" spans="1:13" x14ac:dyDescent="0.25">
      <c r="A273" s="281">
        <f t="shared" si="64"/>
        <v>54</v>
      </c>
      <c r="B273" s="3" t="str">
        <f t="shared" si="65"/>
        <v>53 to 54</v>
      </c>
      <c r="C273" s="3">
        <f t="shared" si="66"/>
        <v>107</v>
      </c>
      <c r="D273" s="286">
        <f t="shared" si="67"/>
        <v>1.607475512288925E-3</v>
      </c>
      <c r="E273" s="3">
        <f t="shared" si="68"/>
        <v>66564</v>
      </c>
      <c r="G273" s="267">
        <f t="shared" si="71"/>
        <v>54</v>
      </c>
      <c r="H273" s="310">
        <f t="shared" si="72"/>
        <v>4.5745351292708181</v>
      </c>
      <c r="I273" s="274">
        <f t="shared" si="73"/>
        <v>1.607475512288925E-3</v>
      </c>
      <c r="J273" s="275">
        <f t="shared" si="69"/>
        <v>7.3534532004082918E-3</v>
      </c>
      <c r="K273" s="274">
        <v>0.01</v>
      </c>
      <c r="L273" s="274"/>
      <c r="M273" s="275">
        <f t="shared" si="70"/>
        <v>4.5745351292708181E-2</v>
      </c>
    </row>
    <row r="274" spans="1:13" x14ac:dyDescent="0.25">
      <c r="A274" s="281">
        <f t="shared" si="64"/>
        <v>53</v>
      </c>
      <c r="B274" s="3" t="str">
        <f t="shared" si="65"/>
        <v>52 to 53</v>
      </c>
      <c r="C274" s="3">
        <f t="shared" si="66"/>
        <v>105</v>
      </c>
      <c r="D274" s="286">
        <f t="shared" si="67"/>
        <v>1.577429241031188E-3</v>
      </c>
      <c r="E274" s="3">
        <f t="shared" si="68"/>
        <v>66564</v>
      </c>
      <c r="G274" s="267">
        <f t="shared" si="71"/>
        <v>53</v>
      </c>
      <c r="H274" s="310">
        <f t="shared" si="72"/>
        <v>4.6262457449652468</v>
      </c>
      <c r="I274" s="274">
        <f t="shared" si="73"/>
        <v>1.577429241031188E-3</v>
      </c>
      <c r="J274" s="275">
        <f t="shared" si="69"/>
        <v>7.2975753143042924E-3</v>
      </c>
      <c r="K274" s="274">
        <v>0.01</v>
      </c>
      <c r="L274" s="274"/>
      <c r="M274" s="275">
        <f t="shared" si="70"/>
        <v>4.6262457449652468E-2</v>
      </c>
    </row>
    <row r="275" spans="1:13" x14ac:dyDescent="0.25">
      <c r="A275" s="281">
        <f t="shared" si="64"/>
        <v>52</v>
      </c>
      <c r="B275" s="3" t="str">
        <f t="shared" si="65"/>
        <v>51 to 52</v>
      </c>
      <c r="C275" s="3">
        <f t="shared" si="66"/>
        <v>103</v>
      </c>
      <c r="D275" s="286">
        <f t="shared" si="67"/>
        <v>1.5473829697734511E-3</v>
      </c>
      <c r="E275" s="3">
        <f t="shared" si="68"/>
        <v>66564</v>
      </c>
      <c r="G275" s="267">
        <f t="shared" si="71"/>
        <v>52</v>
      </c>
      <c r="H275" s="310">
        <f t="shared" si="72"/>
        <v>4.6790219622464457</v>
      </c>
      <c r="I275" s="274">
        <f t="shared" si="73"/>
        <v>1.5473829697734511E-3</v>
      </c>
      <c r="J275" s="275">
        <f t="shared" si="69"/>
        <v>7.2402388995761058E-3</v>
      </c>
      <c r="K275" s="274">
        <v>0.01</v>
      </c>
      <c r="L275" s="274"/>
      <c r="M275" s="275">
        <f t="shared" si="70"/>
        <v>4.6790219622464456E-2</v>
      </c>
    </row>
    <row r="276" spans="1:13" x14ac:dyDescent="0.25">
      <c r="A276" s="281">
        <f t="shared" si="64"/>
        <v>51</v>
      </c>
      <c r="B276" s="3" t="str">
        <f t="shared" si="65"/>
        <v>50 to 51</v>
      </c>
      <c r="C276" s="3">
        <f t="shared" si="66"/>
        <v>101</v>
      </c>
      <c r="D276" s="286">
        <f t="shared" si="67"/>
        <v>1.5173366985157142E-3</v>
      </c>
      <c r="E276" s="3">
        <f t="shared" si="68"/>
        <v>66564</v>
      </c>
      <c r="G276" s="267">
        <f t="shared" si="71"/>
        <v>51</v>
      </c>
      <c r="H276" s="310">
        <f t="shared" si="72"/>
        <v>4.7329038620774551</v>
      </c>
      <c r="I276" s="274">
        <f t="shared" si="73"/>
        <v>1.5173366985157142E-3</v>
      </c>
      <c r="J276" s="275">
        <f t="shared" si="69"/>
        <v>7.1814087204768789E-3</v>
      </c>
      <c r="K276" s="274">
        <v>0.01</v>
      </c>
      <c r="L276" s="274"/>
      <c r="M276" s="275">
        <f t="shared" si="70"/>
        <v>4.7329038620774554E-2</v>
      </c>
    </row>
    <row r="277" spans="1:13" x14ac:dyDescent="0.25">
      <c r="A277" s="281">
        <f t="shared" si="64"/>
        <v>50</v>
      </c>
      <c r="B277" s="3" t="str">
        <f t="shared" si="65"/>
        <v>49 to 50</v>
      </c>
      <c r="C277" s="3">
        <f t="shared" si="66"/>
        <v>99</v>
      </c>
      <c r="D277" s="286">
        <f t="shared" si="67"/>
        <v>1.4872904272579773E-3</v>
      </c>
      <c r="E277" s="3">
        <f t="shared" si="68"/>
        <v>66564</v>
      </c>
      <c r="G277" s="267">
        <f t="shared" si="71"/>
        <v>50</v>
      </c>
      <c r="H277" s="310">
        <f t="shared" si="72"/>
        <v>4.7879338936040758</v>
      </c>
      <c r="I277" s="274">
        <f t="shared" si="73"/>
        <v>1.4872904272579773E-3</v>
      </c>
      <c r="J277" s="275">
        <f t="shared" si="69"/>
        <v>7.1210482463013565E-3</v>
      </c>
      <c r="K277" s="274">
        <v>0.01</v>
      </c>
      <c r="L277" s="274"/>
      <c r="M277" s="275">
        <f t="shared" si="70"/>
        <v>4.7879338936040759E-2</v>
      </c>
    </row>
    <row r="278" spans="1:13" x14ac:dyDescent="0.25">
      <c r="A278" s="281">
        <f t="shared" si="64"/>
        <v>49</v>
      </c>
      <c r="B278" s="3" t="str">
        <f t="shared" si="65"/>
        <v>48 to 49</v>
      </c>
      <c r="C278" s="3">
        <f t="shared" si="66"/>
        <v>97</v>
      </c>
      <c r="D278" s="286">
        <f t="shared" si="67"/>
        <v>1.4572441560002404E-3</v>
      </c>
      <c r="E278" s="3">
        <f t="shared" si="68"/>
        <v>66564</v>
      </c>
      <c r="G278" s="267">
        <f t="shared" si="71"/>
        <v>49</v>
      </c>
      <c r="H278" s="310">
        <f t="shared" si="72"/>
        <v>4.8441570657128032</v>
      </c>
      <c r="I278" s="274">
        <f t="shared" si="73"/>
        <v>1.4572441560002404E-3</v>
      </c>
      <c r="J278" s="275">
        <f t="shared" si="69"/>
        <v>7.0591195747572548E-3</v>
      </c>
      <c r="K278" s="274">
        <v>0.01</v>
      </c>
      <c r="L278" s="274"/>
      <c r="M278" s="275">
        <f t="shared" si="70"/>
        <v>4.8441570657128036E-2</v>
      </c>
    </row>
    <row r="279" spans="1:13" x14ac:dyDescent="0.25">
      <c r="A279" s="281">
        <f t="shared" si="64"/>
        <v>48</v>
      </c>
      <c r="B279" s="3" t="str">
        <f t="shared" si="65"/>
        <v>47 to 48</v>
      </c>
      <c r="C279" s="3">
        <f t="shared" si="66"/>
        <v>95</v>
      </c>
      <c r="D279" s="286">
        <f t="shared" si="67"/>
        <v>1.4271978847425035E-3</v>
      </c>
      <c r="E279" s="3">
        <f t="shared" si="68"/>
        <v>66564</v>
      </c>
      <c r="G279" s="267">
        <f t="shared" si="71"/>
        <v>48</v>
      </c>
      <c r="H279" s="310">
        <f t="shared" si="72"/>
        <v>4.9016211583461118</v>
      </c>
      <c r="I279" s="274">
        <f t="shared" si="73"/>
        <v>1.4271978847425035E-3</v>
      </c>
      <c r="J279" s="275">
        <f t="shared" si="69"/>
        <v>6.9955833490006709E-3</v>
      </c>
      <c r="K279" s="274">
        <v>0.01</v>
      </c>
      <c r="L279" s="274"/>
      <c r="M279" s="275">
        <f t="shared" si="70"/>
        <v>4.9016211583461117E-2</v>
      </c>
    </row>
    <row r="280" spans="1:13" x14ac:dyDescent="0.25">
      <c r="A280" s="281">
        <f t="shared" si="64"/>
        <v>47</v>
      </c>
      <c r="B280" s="3" t="str">
        <f t="shared" si="65"/>
        <v>46 to 47</v>
      </c>
      <c r="C280" s="3">
        <f t="shared" si="66"/>
        <v>93</v>
      </c>
      <c r="D280" s="286">
        <f t="shared" si="67"/>
        <v>1.3971516134847666E-3</v>
      </c>
      <c r="E280" s="3">
        <f t="shared" si="68"/>
        <v>66564</v>
      </c>
      <c r="G280" s="267">
        <f t="shared" si="71"/>
        <v>47</v>
      </c>
      <c r="H280" s="310">
        <f t="shared" si="72"/>
        <v>4.9603769560713689</v>
      </c>
      <c r="I280" s="274">
        <f t="shared" si="73"/>
        <v>1.3971516134847666E-3</v>
      </c>
      <c r="J280" s="275">
        <f t="shared" si="69"/>
        <v>6.9303986676677682E-3</v>
      </c>
      <c r="K280" s="274">
        <v>0.01</v>
      </c>
      <c r="L280" s="274"/>
      <c r="M280" s="275">
        <f t="shared" si="70"/>
        <v>4.960376956071369E-2</v>
      </c>
    </row>
    <row r="281" spans="1:13" x14ac:dyDescent="0.25">
      <c r="A281" s="281">
        <f t="shared" si="64"/>
        <v>46</v>
      </c>
      <c r="B281" s="3" t="str">
        <f t="shared" si="65"/>
        <v>45 to 46</v>
      </c>
      <c r="C281" s="3">
        <f t="shared" si="66"/>
        <v>91</v>
      </c>
      <c r="D281" s="286">
        <f t="shared" si="67"/>
        <v>1.3671053422270297E-3</v>
      </c>
      <c r="E281" s="3">
        <f t="shared" si="68"/>
        <v>66564</v>
      </c>
      <c r="G281" s="267">
        <f t="shared" si="71"/>
        <v>46</v>
      </c>
      <c r="H281" s="310">
        <f t="shared" si="72"/>
        <v>5.0204785067754711</v>
      </c>
      <c r="I281" s="274">
        <f t="shared" si="73"/>
        <v>1.3671053422270297E-3</v>
      </c>
      <c r="J281" s="275">
        <f t="shared" si="69"/>
        <v>6.8635229871487277E-3</v>
      </c>
      <c r="K281" s="274">
        <v>0.01</v>
      </c>
      <c r="L281" s="274"/>
      <c r="M281" s="275">
        <f t="shared" si="70"/>
        <v>5.0204785067754713E-2</v>
      </c>
    </row>
    <row r="282" spans="1:13" x14ac:dyDescent="0.25">
      <c r="A282" s="281">
        <f t="shared" si="64"/>
        <v>45</v>
      </c>
      <c r="B282" s="3" t="str">
        <f t="shared" si="65"/>
        <v>44 to 45</v>
      </c>
      <c r="C282" s="3">
        <f t="shared" si="66"/>
        <v>89</v>
      </c>
      <c r="D282" s="286">
        <f t="shared" si="67"/>
        <v>1.3370590709692928E-3</v>
      </c>
      <c r="E282" s="3">
        <f t="shared" si="68"/>
        <v>66564</v>
      </c>
      <c r="G282" s="267">
        <f t="shared" si="71"/>
        <v>45</v>
      </c>
      <c r="H282" s="310">
        <f t="shared" si="72"/>
        <v>5.0819834087993616</v>
      </c>
      <c r="I282" s="274">
        <f t="shared" si="73"/>
        <v>1.3370590709692928E-3</v>
      </c>
      <c r="J282" s="275">
        <f t="shared" si="69"/>
        <v>6.7949120152506343E-3</v>
      </c>
      <c r="K282" s="274">
        <v>0.01</v>
      </c>
      <c r="L282" s="274"/>
      <c r="M282" s="275">
        <f t="shared" si="70"/>
        <v>5.0819834087993621E-2</v>
      </c>
    </row>
    <row r="283" spans="1:13" x14ac:dyDescent="0.25">
      <c r="A283" s="281">
        <f t="shared" si="64"/>
        <v>44</v>
      </c>
      <c r="B283" s="3" t="str">
        <f t="shared" si="65"/>
        <v>43 to 44</v>
      </c>
      <c r="C283" s="3">
        <f t="shared" si="66"/>
        <v>87</v>
      </c>
      <c r="D283" s="286">
        <f t="shared" si="67"/>
        <v>1.3070127997115558E-3</v>
      </c>
      <c r="E283" s="3">
        <f t="shared" si="68"/>
        <v>66564</v>
      </c>
      <c r="G283" s="267">
        <f t="shared" si="71"/>
        <v>44</v>
      </c>
      <c r="H283" s="310">
        <f t="shared" si="72"/>
        <v>5.1449531303480196</v>
      </c>
      <c r="I283" s="274">
        <f t="shared" si="73"/>
        <v>1.3070127997115558E-3</v>
      </c>
      <c r="J283" s="275">
        <f t="shared" si="69"/>
        <v>6.7245195952808983E-3</v>
      </c>
      <c r="K283" s="274">
        <v>0.01</v>
      </c>
      <c r="L283" s="274"/>
      <c r="M283" s="275">
        <f t="shared" si="70"/>
        <v>5.1449531303480199E-2</v>
      </c>
    </row>
    <row r="284" spans="1:13" x14ac:dyDescent="0.25">
      <c r="A284" s="281">
        <f t="shared" si="64"/>
        <v>43</v>
      </c>
      <c r="B284" s="3" t="str">
        <f t="shared" si="65"/>
        <v>42 to 43</v>
      </c>
      <c r="C284" s="3">
        <f t="shared" si="66"/>
        <v>85</v>
      </c>
      <c r="D284" s="286">
        <f t="shared" si="67"/>
        <v>1.2769665284538189E-3</v>
      </c>
      <c r="E284" s="3">
        <f t="shared" si="68"/>
        <v>66564</v>
      </c>
      <c r="G284" s="267">
        <f t="shared" si="71"/>
        <v>43</v>
      </c>
      <c r="H284" s="310">
        <f t="shared" si="72"/>
        <v>5.2094533656289501</v>
      </c>
      <c r="I284" s="274">
        <f t="shared" si="73"/>
        <v>1.2769665284538189E-3</v>
      </c>
      <c r="J284" s="275">
        <f t="shared" si="69"/>
        <v>6.6522975794492635E-3</v>
      </c>
      <c r="K284" s="274">
        <v>0.01</v>
      </c>
      <c r="L284" s="274"/>
      <c r="M284" s="275">
        <f t="shared" si="70"/>
        <v>5.20945336562895E-2</v>
      </c>
    </row>
    <row r="285" spans="1:13" x14ac:dyDescent="0.25">
      <c r="A285" s="281">
        <f t="shared" si="64"/>
        <v>42</v>
      </c>
      <c r="B285" s="3" t="str">
        <f t="shared" si="65"/>
        <v>41 to 42</v>
      </c>
      <c r="C285" s="3">
        <f t="shared" si="66"/>
        <v>83</v>
      </c>
      <c r="D285" s="286">
        <f t="shared" si="67"/>
        <v>1.246920257196082E-3</v>
      </c>
      <c r="E285" s="3">
        <f t="shared" si="68"/>
        <v>66564</v>
      </c>
      <c r="G285" s="267">
        <f t="shared" si="71"/>
        <v>42</v>
      </c>
      <c r="H285" s="310">
        <f t="shared" si="72"/>
        <v>5.2755544329059019</v>
      </c>
      <c r="I285" s="274">
        <f t="shared" si="73"/>
        <v>1.246920257196082E-3</v>
      </c>
      <c r="J285" s="275">
        <f t="shared" si="69"/>
        <v>6.5781956903309576E-3</v>
      </c>
      <c r="K285" s="274">
        <v>0.01</v>
      </c>
      <c r="L285" s="274"/>
      <c r="M285" s="275">
        <f t="shared" si="70"/>
        <v>5.2755544329059018E-2</v>
      </c>
    </row>
    <row r="286" spans="1:13" x14ac:dyDescent="0.25">
      <c r="A286" s="281">
        <f t="shared" si="64"/>
        <v>41</v>
      </c>
      <c r="B286" s="3" t="str">
        <f t="shared" si="65"/>
        <v>40 to 41</v>
      </c>
      <c r="C286" s="3">
        <f t="shared" si="66"/>
        <v>81</v>
      </c>
      <c r="D286" s="286">
        <f t="shared" si="67"/>
        <v>1.2168739859383451E-3</v>
      </c>
      <c r="E286" s="3">
        <f t="shared" si="68"/>
        <v>66564</v>
      </c>
      <c r="G286" s="267">
        <f t="shared" si="71"/>
        <v>41</v>
      </c>
      <c r="H286" s="310">
        <f t="shared" si="72"/>
        <v>5.3433317205296964</v>
      </c>
      <c r="I286" s="274">
        <f t="shared" si="73"/>
        <v>1.2168739859383451E-3</v>
      </c>
      <c r="J286" s="275">
        <f t="shared" si="69"/>
        <v>6.5021613689517669E-3</v>
      </c>
      <c r="K286" s="274">
        <v>0.01</v>
      </c>
      <c r="L286" s="274"/>
      <c r="M286" s="275">
        <f t="shared" si="70"/>
        <v>5.3433317205296968E-2</v>
      </c>
    </row>
    <row r="287" spans="1:13" x14ac:dyDescent="0.25">
      <c r="A287" s="281">
        <f t="shared" si="64"/>
        <v>40</v>
      </c>
      <c r="B287" s="3" t="str">
        <f t="shared" si="65"/>
        <v>39 to 40</v>
      </c>
      <c r="C287" s="3">
        <f t="shared" si="66"/>
        <v>79</v>
      </c>
      <c r="D287" s="286">
        <f t="shared" si="67"/>
        <v>1.1868277146806082E-3</v>
      </c>
      <c r="E287" s="3">
        <f t="shared" si="68"/>
        <v>66564</v>
      </c>
      <c r="G287" s="267">
        <f t="shared" si="71"/>
        <v>40</v>
      </c>
      <c r="H287" s="310">
        <f t="shared" si="72"/>
        <v>5.4128661880561957</v>
      </c>
      <c r="I287" s="274">
        <f t="shared" si="73"/>
        <v>1.1868277146806082E-3</v>
      </c>
      <c r="J287" s="275">
        <f t="shared" si="69"/>
        <v>6.42413960784267E-3</v>
      </c>
      <c r="K287" s="274">
        <v>0.01</v>
      </c>
      <c r="L287" s="274"/>
      <c r="M287" s="275">
        <f t="shared" si="70"/>
        <v>5.4128661880561958E-2</v>
      </c>
    </row>
    <row r="288" spans="1:13" x14ac:dyDescent="0.25">
      <c r="A288" s="281">
        <f t="shared" si="64"/>
        <v>39</v>
      </c>
      <c r="B288" s="3" t="str">
        <f t="shared" si="65"/>
        <v>38 to 39</v>
      </c>
      <c r="C288" s="3">
        <f t="shared" si="66"/>
        <v>77</v>
      </c>
      <c r="D288" s="286">
        <f t="shared" si="67"/>
        <v>1.1567814434228713E-3</v>
      </c>
      <c r="E288" s="3">
        <f t="shared" si="68"/>
        <v>66564</v>
      </c>
      <c r="G288" s="267">
        <f t="shared" si="71"/>
        <v>39</v>
      </c>
      <c r="H288" s="310">
        <f t="shared" si="72"/>
        <v>5.484244930821915</v>
      </c>
      <c r="I288" s="274">
        <f t="shared" si="73"/>
        <v>1.1567814434228713E-3</v>
      </c>
      <c r="J288" s="275">
        <f t="shared" si="69"/>
        <v>6.3440727671607395E-3</v>
      </c>
      <c r="K288" s="274">
        <v>0.01</v>
      </c>
      <c r="L288" s="274"/>
      <c r="M288" s="275">
        <f t="shared" si="70"/>
        <v>5.4842449308219153E-2</v>
      </c>
    </row>
    <row r="289" spans="1:13" x14ac:dyDescent="0.25">
      <c r="A289" s="281">
        <f t="shared" si="64"/>
        <v>38</v>
      </c>
      <c r="B289" s="3" t="str">
        <f t="shared" si="65"/>
        <v>37 to 38</v>
      </c>
      <c r="C289" s="3">
        <f t="shared" si="66"/>
        <v>75</v>
      </c>
      <c r="D289" s="286">
        <f t="shared" si="67"/>
        <v>1.1267351721651344E-3</v>
      </c>
      <c r="E289" s="3">
        <f t="shared" si="68"/>
        <v>66564</v>
      </c>
      <c r="G289" s="267">
        <f t="shared" si="71"/>
        <v>38</v>
      </c>
      <c r="H289" s="310">
        <f t="shared" si="72"/>
        <v>5.5575618178703294</v>
      </c>
      <c r="I289" s="274">
        <f t="shared" si="73"/>
        <v>1.1267351721651344E-3</v>
      </c>
      <c r="J289" s="275">
        <f t="shared" si="69"/>
        <v>6.2619003716765029E-3</v>
      </c>
      <c r="K289" s="274">
        <v>0.01</v>
      </c>
      <c r="L289" s="274"/>
      <c r="M289" s="275">
        <f t="shared" si="70"/>
        <v>5.5575618178703295E-2</v>
      </c>
    </row>
    <row r="290" spans="1:13" x14ac:dyDescent="0.25">
      <c r="A290" s="281">
        <f t="shared" si="64"/>
        <v>37</v>
      </c>
      <c r="B290" s="3" t="str">
        <f t="shared" si="65"/>
        <v>36 to 37</v>
      </c>
      <c r="C290" s="3">
        <f t="shared" si="66"/>
        <v>73</v>
      </c>
      <c r="D290" s="286">
        <f t="shared" si="67"/>
        <v>1.0966889009073975E-3</v>
      </c>
      <c r="E290" s="3">
        <f t="shared" si="68"/>
        <v>66564</v>
      </c>
      <c r="G290" s="267">
        <f t="shared" si="71"/>
        <v>37</v>
      </c>
      <c r="H290" s="310">
        <f t="shared" si="72"/>
        <v>5.6329182149694299</v>
      </c>
      <c r="I290" s="274">
        <f t="shared" si="73"/>
        <v>1.0966889009073975E-3</v>
      </c>
      <c r="J290" s="275">
        <f t="shared" si="69"/>
        <v>6.1775588860760837E-3</v>
      </c>
      <c r="K290" s="274">
        <v>0.01</v>
      </c>
      <c r="L290" s="274"/>
      <c r="M290" s="275">
        <f t="shared" si="70"/>
        <v>5.6329182149694297E-2</v>
      </c>
    </row>
    <row r="291" spans="1:13" x14ac:dyDescent="0.25">
      <c r="A291" s="281">
        <f t="shared" si="64"/>
        <v>36</v>
      </c>
      <c r="B291" s="3" t="str">
        <f t="shared" si="65"/>
        <v>35 to 36</v>
      </c>
      <c r="C291" s="3">
        <f t="shared" si="66"/>
        <v>71</v>
      </c>
      <c r="D291" s="286">
        <f t="shared" si="67"/>
        <v>1.0666426296496606E-3</v>
      </c>
      <c r="E291" s="3">
        <f t="shared" si="68"/>
        <v>66564</v>
      </c>
      <c r="G291" s="267">
        <f t="shared" si="71"/>
        <v>36</v>
      </c>
      <c r="H291" s="310">
        <f t="shared" si="72"/>
        <v>5.7104238067137141</v>
      </c>
      <c r="I291" s="274">
        <f t="shared" si="73"/>
        <v>1.0666426296496606E-3</v>
      </c>
      <c r="J291" s="275">
        <f t="shared" si="69"/>
        <v>6.090981465607141E-3</v>
      </c>
      <c r="K291" s="274">
        <v>0.01</v>
      </c>
      <c r="L291" s="274"/>
      <c r="M291" s="275">
        <f t="shared" si="70"/>
        <v>5.7104238067137145E-2</v>
      </c>
    </row>
    <row r="292" spans="1:13" x14ac:dyDescent="0.25">
      <c r="A292" s="281">
        <f t="shared" si="64"/>
        <v>35</v>
      </c>
      <c r="B292" s="3" t="str">
        <f t="shared" si="65"/>
        <v>34 to 35</v>
      </c>
      <c r="C292" s="3">
        <f t="shared" si="66"/>
        <v>69</v>
      </c>
      <c r="D292" s="286">
        <f t="shared" si="67"/>
        <v>1.0365963583919236E-3</v>
      </c>
      <c r="E292" s="3">
        <f t="shared" si="68"/>
        <v>66564</v>
      </c>
      <c r="G292" s="267">
        <f t="shared" si="71"/>
        <v>35</v>
      </c>
      <c r="H292" s="310">
        <f t="shared" si="72"/>
        <v>5.7901975344643564</v>
      </c>
      <c r="I292" s="274">
        <f t="shared" si="73"/>
        <v>1.0365963583919236E-3</v>
      </c>
      <c r="J292" s="275">
        <f t="shared" si="69"/>
        <v>6.0020976785956463E-3</v>
      </c>
      <c r="K292" s="274">
        <v>0.01</v>
      </c>
      <c r="L292" s="274"/>
      <c r="M292" s="275">
        <f t="shared" si="70"/>
        <v>5.7901975344643565E-2</v>
      </c>
    </row>
    <row r="293" spans="1:13" x14ac:dyDescent="0.25">
      <c r="A293" s="281">
        <f t="shared" si="64"/>
        <v>34</v>
      </c>
      <c r="B293" s="3" t="str">
        <f t="shared" si="65"/>
        <v>33 to 34</v>
      </c>
      <c r="C293" s="3">
        <f t="shared" si="66"/>
        <v>67</v>
      </c>
      <c r="D293" s="286">
        <f t="shared" si="67"/>
        <v>1.0065500871341867E-3</v>
      </c>
      <c r="E293" s="3">
        <f t="shared" si="68"/>
        <v>66564</v>
      </c>
      <c r="G293" s="267">
        <f t="shared" si="71"/>
        <v>34</v>
      </c>
      <c r="H293" s="310">
        <f t="shared" si="72"/>
        <v>5.8723686702823255</v>
      </c>
      <c r="I293" s="274">
        <f t="shared" si="73"/>
        <v>1.0065500871341867E-3</v>
      </c>
      <c r="J293" s="275">
        <f t="shared" si="69"/>
        <v>5.9108331967567427E-3</v>
      </c>
      <c r="K293" s="274">
        <v>0.01</v>
      </c>
      <c r="L293" s="274"/>
      <c r="M293" s="275">
        <f t="shared" si="70"/>
        <v>5.8723686702823255E-2</v>
      </c>
    </row>
    <row r="294" spans="1:13" x14ac:dyDescent="0.25">
      <c r="A294" s="281">
        <f t="shared" si="64"/>
        <v>33</v>
      </c>
      <c r="B294" s="3" t="str">
        <f t="shared" si="65"/>
        <v>32 to 33</v>
      </c>
      <c r="C294" s="3">
        <f t="shared" si="66"/>
        <v>65</v>
      </c>
      <c r="D294" s="286">
        <f t="shared" si="67"/>
        <v>9.7650381587644972E-4</v>
      </c>
      <c r="E294" s="3">
        <f t="shared" si="68"/>
        <v>66564</v>
      </c>
      <c r="G294" s="267">
        <f t="shared" si="71"/>
        <v>33</v>
      </c>
      <c r="H294" s="310">
        <f t="shared" si="72"/>
        <v>5.9570780512229602</v>
      </c>
      <c r="I294" s="274">
        <f t="shared" si="73"/>
        <v>9.7650381587644972E-4</v>
      </c>
      <c r="J294" s="275">
        <f t="shared" si="69"/>
        <v>5.8171094484930656E-3</v>
      </c>
      <c r="K294" s="274">
        <v>0.01</v>
      </c>
      <c r="L294" s="274"/>
      <c r="M294" s="275">
        <f t="shared" si="70"/>
        <v>5.9570780512229603E-2</v>
      </c>
    </row>
    <row r="295" spans="1:13" x14ac:dyDescent="0.25">
      <c r="A295" s="281">
        <f t="shared" si="64"/>
        <v>32</v>
      </c>
      <c r="B295" s="3" t="str">
        <f t="shared" si="65"/>
        <v>31 to 32</v>
      </c>
      <c r="C295" s="3">
        <f t="shared" si="66"/>
        <v>63</v>
      </c>
      <c r="D295" s="286">
        <f t="shared" si="67"/>
        <v>9.4645754461871281E-4</v>
      </c>
      <c r="E295" s="3">
        <f t="shared" si="68"/>
        <v>66564</v>
      </c>
      <c r="G295" s="267">
        <f t="shared" si="71"/>
        <v>32</v>
      </c>
      <c r="H295" s="310">
        <f t="shared" si="72"/>
        <v>6.0444795036120755</v>
      </c>
      <c r="I295" s="274">
        <f t="shared" si="73"/>
        <v>9.4645754461871281E-4</v>
      </c>
      <c r="J295" s="275">
        <f t="shared" si="69"/>
        <v>5.7208432294868208E-3</v>
      </c>
      <c r="K295" s="274">
        <v>0.01</v>
      </c>
      <c r="L295" s="274"/>
      <c r="M295" s="275">
        <f t="shared" si="70"/>
        <v>6.0444795036120755E-2</v>
      </c>
    </row>
    <row r="296" spans="1:13" x14ac:dyDescent="0.25">
      <c r="A296" s="281">
        <f t="shared" si="64"/>
        <v>31</v>
      </c>
      <c r="B296" s="3" t="str">
        <f t="shared" si="65"/>
        <v>30 to 31</v>
      </c>
      <c r="C296" s="3">
        <f t="shared" si="66"/>
        <v>61</v>
      </c>
      <c r="D296" s="286">
        <f t="shared" si="67"/>
        <v>9.164112733609759E-4</v>
      </c>
      <c r="E296" s="3">
        <f t="shared" si="68"/>
        <v>66564</v>
      </c>
      <c r="G296" s="267">
        <f t="shared" si="71"/>
        <v>31</v>
      </c>
      <c r="H296" s="310">
        <f t="shared" si="72"/>
        <v>6.1347414935099422</v>
      </c>
      <c r="I296" s="274">
        <f t="shared" si="73"/>
        <v>9.164112733609759E-4</v>
      </c>
      <c r="J296" s="275">
        <f t="shared" si="69"/>
        <v>5.621946263807861E-3</v>
      </c>
      <c r="K296" s="274">
        <v>0.01</v>
      </c>
      <c r="L296" s="274"/>
      <c r="M296" s="275">
        <f t="shared" si="70"/>
        <v>6.1347414935099424E-2</v>
      </c>
    </row>
    <row r="297" spans="1:13" x14ac:dyDescent="0.25">
      <c r="A297" s="281">
        <f t="shared" si="64"/>
        <v>30</v>
      </c>
      <c r="B297" s="3" t="str">
        <f t="shared" si="65"/>
        <v>29 to 30</v>
      </c>
      <c r="C297" s="3">
        <f t="shared" si="66"/>
        <v>59</v>
      </c>
      <c r="D297" s="286">
        <f t="shared" si="67"/>
        <v>8.8636500210323898E-4</v>
      </c>
      <c r="E297" s="3">
        <f t="shared" si="68"/>
        <v>66564</v>
      </c>
      <c r="G297" s="267">
        <f t="shared" si="71"/>
        <v>30</v>
      </c>
      <c r="H297" s="310">
        <f t="shared" si="72"/>
        <v>6.2280490478844621</v>
      </c>
      <c r="I297" s="274">
        <f t="shared" si="73"/>
        <v>8.8636500210323898E-4</v>
      </c>
      <c r="J297" s="275">
        <f t="shared" si="69"/>
        <v>5.5203247074271872E-3</v>
      </c>
      <c r="K297" s="274">
        <v>0.01</v>
      </c>
      <c r="L297" s="274"/>
      <c r="M297" s="275">
        <f t="shared" si="70"/>
        <v>6.2280490478844625E-2</v>
      </c>
    </row>
    <row r="298" spans="1:13" x14ac:dyDescent="0.25">
      <c r="A298" s="281">
        <f t="shared" si="64"/>
        <v>29</v>
      </c>
      <c r="B298" s="3" t="str">
        <f t="shared" si="65"/>
        <v>28 to 29</v>
      </c>
      <c r="C298" s="3">
        <f t="shared" si="66"/>
        <v>57</v>
      </c>
      <c r="D298" s="286">
        <f t="shared" si="67"/>
        <v>8.5631873084550207E-4</v>
      </c>
      <c r="E298" s="3">
        <f t="shared" si="68"/>
        <v>66564</v>
      </c>
      <c r="G298" s="267">
        <f t="shared" si="71"/>
        <v>29</v>
      </c>
      <c r="H298" s="310">
        <f t="shared" si="72"/>
        <v>6.3246060015865355</v>
      </c>
      <c r="I298" s="274">
        <f t="shared" si="73"/>
        <v>8.5631873084550207E-4</v>
      </c>
      <c r="J298" s="275">
        <f t="shared" si="69"/>
        <v>5.4158785843764273E-3</v>
      </c>
      <c r="K298" s="274">
        <v>0.01</v>
      </c>
      <c r="L298" s="274"/>
      <c r="M298" s="275">
        <f t="shared" si="70"/>
        <v>6.3246060015865357E-2</v>
      </c>
    </row>
    <row r="299" spans="1:13" x14ac:dyDescent="0.25">
      <c r="A299" s="281">
        <f t="shared" si="64"/>
        <v>28</v>
      </c>
      <c r="B299" s="3" t="str">
        <f t="shared" si="65"/>
        <v>27 to 28</v>
      </c>
      <c r="C299" s="3">
        <f t="shared" si="66"/>
        <v>55</v>
      </c>
      <c r="D299" s="286">
        <f t="shared" si="67"/>
        <v>8.2627245958776516E-4</v>
      </c>
      <c r="E299" s="3">
        <f t="shared" si="68"/>
        <v>66564</v>
      </c>
      <c r="G299" s="267">
        <f t="shared" si="71"/>
        <v>28</v>
      </c>
      <c r="H299" s="310">
        <f t="shared" si="72"/>
        <v>6.4246376387621407</v>
      </c>
      <c r="I299" s="274">
        <f t="shared" si="73"/>
        <v>8.2627245958776516E-4</v>
      </c>
      <c r="J299" s="275">
        <f t="shared" si="69"/>
        <v>5.3085011437401259E-3</v>
      </c>
      <c r="K299" s="274">
        <v>0.01</v>
      </c>
      <c r="L299" s="274"/>
      <c r="M299" s="275">
        <f t="shared" si="70"/>
        <v>6.4246376387621401E-2</v>
      </c>
    </row>
    <row r="300" spans="1:13" x14ac:dyDescent="0.25">
      <c r="A300" s="281">
        <f t="shared" si="64"/>
        <v>27</v>
      </c>
      <c r="B300" s="3" t="str">
        <f t="shared" si="65"/>
        <v>26 to 27</v>
      </c>
      <c r="C300" s="3">
        <f t="shared" si="66"/>
        <v>53</v>
      </c>
      <c r="D300" s="286">
        <f t="shared" si="67"/>
        <v>7.9622618833002825E-4</v>
      </c>
      <c r="E300" s="3">
        <f t="shared" si="68"/>
        <v>66564</v>
      </c>
      <c r="G300" s="267">
        <f t="shared" si="71"/>
        <v>27</v>
      </c>
      <c r="H300" s="310">
        <f t="shared" si="72"/>
        <v>6.5283938148200118</v>
      </c>
      <c r="I300" s="274">
        <f t="shared" si="73"/>
        <v>7.9622618833002825E-4</v>
      </c>
      <c r="J300" s="275">
        <f t="shared" si="69"/>
        <v>5.1980781230914702E-3</v>
      </c>
      <c r="K300" s="274">
        <v>0.01</v>
      </c>
      <c r="L300" s="274"/>
      <c r="M300" s="275">
        <f t="shared" si="70"/>
        <v>6.5283938148200119E-2</v>
      </c>
    </row>
    <row r="301" spans="1:13" x14ac:dyDescent="0.25">
      <c r="A301" s="281">
        <f t="shared" si="64"/>
        <v>26</v>
      </c>
      <c r="B301" s="3" t="str">
        <f t="shared" si="65"/>
        <v>25 to 26</v>
      </c>
      <c r="C301" s="3">
        <f t="shared" si="66"/>
        <v>51</v>
      </c>
      <c r="D301" s="286">
        <f t="shared" si="67"/>
        <v>7.6617991707229134E-4</v>
      </c>
      <c r="E301" s="3">
        <f t="shared" si="68"/>
        <v>66564</v>
      </c>
      <c r="G301" s="267">
        <f t="shared" si="71"/>
        <v>26</v>
      </c>
      <c r="H301" s="310">
        <f t="shared" si="72"/>
        <v>6.6361526678413449</v>
      </c>
      <c r="I301" s="274">
        <f t="shared" si="73"/>
        <v>7.6617991707229134E-4</v>
      </c>
      <c r="J301" s="275">
        <f t="shared" si="69"/>
        <v>5.0844869007257466E-3</v>
      </c>
      <c r="K301" s="274">
        <v>0.01</v>
      </c>
      <c r="L301" s="274"/>
      <c r="M301" s="275">
        <f t="shared" si="70"/>
        <v>6.6361526678413454E-2</v>
      </c>
    </row>
    <row r="302" spans="1:13" x14ac:dyDescent="0.25">
      <c r="A302" s="281">
        <f t="shared" si="64"/>
        <v>25</v>
      </c>
      <c r="B302" s="3" t="str">
        <f t="shared" si="65"/>
        <v>24 to 25</v>
      </c>
      <c r="C302" s="3">
        <f t="shared" si="66"/>
        <v>49</v>
      </c>
      <c r="D302" s="286">
        <f t="shared" si="67"/>
        <v>7.3613364581455443E-4</v>
      </c>
      <c r="E302" s="3">
        <f t="shared" si="68"/>
        <v>66564</v>
      </c>
      <c r="G302" s="267">
        <f t="shared" si="71"/>
        <v>25</v>
      </c>
      <c r="H302" s="310">
        <f t="shared" si="72"/>
        <v>6.7482250582354872</v>
      </c>
      <c r="I302" s="274">
        <f t="shared" si="73"/>
        <v>7.3613364581455443E-4</v>
      </c>
      <c r="J302" s="275">
        <f t="shared" si="69"/>
        <v>4.9675955148960234E-3</v>
      </c>
      <c r="K302" s="274">
        <v>0.01</v>
      </c>
      <c r="L302" s="274"/>
      <c r="M302" s="275">
        <f t="shared" si="70"/>
        <v>6.748225058235488E-2</v>
      </c>
    </row>
    <row r="303" spans="1:13" x14ac:dyDescent="0.25">
      <c r="A303" s="281">
        <f t="shared" si="64"/>
        <v>24</v>
      </c>
      <c r="B303" s="3" t="str">
        <f t="shared" si="65"/>
        <v>23 to 24</v>
      </c>
      <c r="C303" s="3">
        <f t="shared" si="66"/>
        <v>47</v>
      </c>
      <c r="D303" s="286">
        <f t="shared" si="67"/>
        <v>7.0608737455681752E-4</v>
      </c>
      <c r="E303" s="3">
        <f t="shared" si="68"/>
        <v>66564</v>
      </c>
      <c r="G303" s="267">
        <f t="shared" si="71"/>
        <v>24</v>
      </c>
      <c r="H303" s="310">
        <f t="shared" si="72"/>
        <v>6.8649599151426006</v>
      </c>
      <c r="I303" s="274">
        <f t="shared" si="73"/>
        <v>7.0608737455681752E-4</v>
      </c>
      <c r="J303" s="275">
        <f t="shared" si="69"/>
        <v>4.8472615229208319E-3</v>
      </c>
      <c r="K303" s="274">
        <v>0.01</v>
      </c>
      <c r="L303" s="274"/>
      <c r="M303" s="275">
        <f t="shared" si="70"/>
        <v>6.8649599151426002E-2</v>
      </c>
    </row>
    <row r="304" spans="1:13" x14ac:dyDescent="0.25">
      <c r="A304" s="281">
        <f t="shared" si="64"/>
        <v>23</v>
      </c>
      <c r="B304" s="3" t="str">
        <f t="shared" si="65"/>
        <v>22 to 23</v>
      </c>
      <c r="C304" s="3">
        <f t="shared" si="66"/>
        <v>45</v>
      </c>
      <c r="D304" s="286">
        <f t="shared" si="67"/>
        <v>6.7604110329908061E-4</v>
      </c>
      <c r="E304" s="3">
        <f t="shared" si="68"/>
        <v>66564</v>
      </c>
      <c r="G304" s="267">
        <f t="shared" si="71"/>
        <v>23</v>
      </c>
      <c r="H304" s="310">
        <f t="shared" si="72"/>
        <v>6.9867507213111173</v>
      </c>
      <c r="I304" s="274">
        <f t="shared" si="73"/>
        <v>6.7604110329908061E-4</v>
      </c>
      <c r="J304" s="275">
        <f t="shared" si="69"/>
        <v>4.7233306661108154E-3</v>
      </c>
      <c r="K304" s="274">
        <v>0.01</v>
      </c>
      <c r="L304" s="274"/>
      <c r="M304" s="275">
        <f t="shared" si="70"/>
        <v>6.9867507213111177E-2</v>
      </c>
    </row>
    <row r="305" spans="1:13" x14ac:dyDescent="0.25">
      <c r="A305" s="281">
        <f t="shared" si="64"/>
        <v>22</v>
      </c>
      <c r="B305" s="3" t="str">
        <f t="shared" si="65"/>
        <v>21 to 22</v>
      </c>
      <c r="C305" s="3">
        <f t="shared" si="66"/>
        <v>43</v>
      </c>
      <c r="D305" s="286">
        <f t="shared" si="67"/>
        <v>6.459948320413437E-4</v>
      </c>
      <c r="E305" s="3">
        <f t="shared" si="68"/>
        <v>66564</v>
      </c>
      <c r="G305" s="267">
        <f t="shared" si="71"/>
        <v>22</v>
      </c>
      <c r="H305" s="310">
        <f t="shared" si="72"/>
        <v>7.1140434403536563</v>
      </c>
      <c r="I305" s="274">
        <f t="shared" si="73"/>
        <v>6.459948320413437E-4</v>
      </c>
      <c r="J305" s="275">
        <f t="shared" si="69"/>
        <v>4.5956352973860835E-3</v>
      </c>
      <c r="K305" s="274">
        <v>0.01</v>
      </c>
      <c r="L305" s="274"/>
      <c r="M305" s="275">
        <f t="shared" si="70"/>
        <v>7.1140434403536568E-2</v>
      </c>
    </row>
    <row r="306" spans="1:13" x14ac:dyDescent="0.25">
      <c r="A306" s="281">
        <f t="shared" si="64"/>
        <v>21</v>
      </c>
      <c r="B306" s="3" t="str">
        <f t="shared" si="65"/>
        <v>20 to 21</v>
      </c>
      <c r="C306" s="3">
        <f t="shared" si="66"/>
        <v>41</v>
      </c>
      <c r="D306" s="286">
        <f t="shared" si="67"/>
        <v>6.1594856078360679E-4</v>
      </c>
      <c r="E306" s="3">
        <f t="shared" si="68"/>
        <v>66564</v>
      </c>
      <c r="G306" s="267">
        <f t="shared" si="71"/>
        <v>21</v>
      </c>
      <c r="H306" s="310">
        <f t="shared" si="72"/>
        <v>7.2473462893542546</v>
      </c>
      <c r="I306" s="274">
        <f t="shared" si="73"/>
        <v>6.1594856078360679E-4</v>
      </c>
      <c r="J306" s="275">
        <f t="shared" si="69"/>
        <v>4.4639925164281658E-3</v>
      </c>
      <c r="K306" s="274">
        <v>0.01</v>
      </c>
      <c r="L306" s="274"/>
      <c r="M306" s="275">
        <f t="shared" si="70"/>
        <v>7.2473462893542548E-2</v>
      </c>
    </row>
    <row r="307" spans="1:13" x14ac:dyDescent="0.25">
      <c r="A307" s="281">
        <f t="shared" si="64"/>
        <v>20</v>
      </c>
      <c r="B307" s="3" t="str">
        <f t="shared" si="65"/>
        <v>19 to 20</v>
      </c>
      <c r="C307" s="3">
        <f t="shared" si="66"/>
        <v>39</v>
      </c>
      <c r="D307" s="286">
        <f t="shared" si="67"/>
        <v>5.8590228952586987E-4</v>
      </c>
      <c r="E307" s="3">
        <f t="shared" si="68"/>
        <v>66564</v>
      </c>
      <c r="G307" s="267">
        <f t="shared" si="71"/>
        <v>20</v>
      </c>
      <c r="H307" s="310">
        <f t="shared" si="72"/>
        <v>7.3872418975883916</v>
      </c>
      <c r="I307" s="274">
        <f t="shared" si="73"/>
        <v>5.8590228952586987E-4</v>
      </c>
      <c r="J307" s="275">
        <f t="shared" si="69"/>
        <v>4.3282019410784698E-3</v>
      </c>
      <c r="K307" s="274">
        <v>0.01</v>
      </c>
      <c r="L307" s="274"/>
      <c r="M307" s="275">
        <f t="shared" si="70"/>
        <v>7.3872418975883911E-2</v>
      </c>
    </row>
    <row r="308" spans="1:13" x14ac:dyDescent="0.25">
      <c r="A308" s="281">
        <f t="shared" si="64"/>
        <v>19</v>
      </c>
      <c r="B308" s="3" t="str">
        <f t="shared" si="65"/>
        <v>18 to 19</v>
      </c>
      <c r="C308" s="3">
        <f t="shared" si="66"/>
        <v>37</v>
      </c>
      <c r="D308" s="286">
        <f t="shared" si="67"/>
        <v>5.5585601826813296E-4</v>
      </c>
      <c r="E308" s="3">
        <f t="shared" si="68"/>
        <v>66564</v>
      </c>
      <c r="G308" s="267">
        <f t="shared" si="71"/>
        <v>19</v>
      </c>
      <c r="H308" s="310">
        <f t="shared" si="72"/>
        <v>7.5344025865283326</v>
      </c>
      <c r="I308" s="274">
        <f t="shared" si="73"/>
        <v>5.5585601826813296E-4</v>
      </c>
      <c r="J308" s="275">
        <f t="shared" si="69"/>
        <v>4.1880430217767608E-3</v>
      </c>
      <c r="K308" s="274">
        <v>0.01</v>
      </c>
      <c r="L308" s="274"/>
      <c r="M308" s="275">
        <f t="shared" si="70"/>
        <v>7.5344025865283326E-2</v>
      </c>
    </row>
    <row r="309" spans="1:13" x14ac:dyDescent="0.25">
      <c r="A309" s="281">
        <f t="shared" si="64"/>
        <v>18</v>
      </c>
      <c r="B309" s="3" t="str">
        <f t="shared" si="65"/>
        <v>17 to 18</v>
      </c>
      <c r="C309" s="3">
        <f t="shared" si="66"/>
        <v>35</v>
      </c>
      <c r="D309" s="286">
        <f t="shared" si="67"/>
        <v>5.2580974701039605E-4</v>
      </c>
      <c r="E309" s="3">
        <f t="shared" si="68"/>
        <v>66564</v>
      </c>
      <c r="G309" s="267">
        <f t="shared" si="71"/>
        <v>18</v>
      </c>
      <c r="H309" s="310">
        <f t="shared" si="72"/>
        <v>7.6896097849403411</v>
      </c>
      <c r="I309" s="274">
        <f t="shared" si="73"/>
        <v>5.2580974701039605E-4</v>
      </c>
      <c r="J309" s="275">
        <f t="shared" si="69"/>
        <v>4.043271775628147E-3</v>
      </c>
      <c r="K309" s="274">
        <v>0.01</v>
      </c>
      <c r="L309" s="274"/>
      <c r="M309" s="275">
        <f t="shared" si="70"/>
        <v>7.6896097849403419E-2</v>
      </c>
    </row>
    <row r="310" spans="1:13" x14ac:dyDescent="0.25">
      <c r="A310" s="281">
        <f t="shared" si="64"/>
        <v>17</v>
      </c>
      <c r="B310" s="3" t="str">
        <f t="shared" si="65"/>
        <v>16 to 17</v>
      </c>
      <c r="C310" s="3">
        <f t="shared" si="66"/>
        <v>33</v>
      </c>
      <c r="D310" s="286">
        <f t="shared" si="67"/>
        <v>4.9576347575265914E-4</v>
      </c>
      <c r="E310" s="3">
        <f t="shared" si="68"/>
        <v>66564</v>
      </c>
      <c r="G310" s="267">
        <f t="shared" si="71"/>
        <v>17</v>
      </c>
      <c r="H310" s="310">
        <f t="shared" si="72"/>
        <v>7.8537789991476634</v>
      </c>
      <c r="I310" s="274">
        <f t="shared" si="73"/>
        <v>4.9576347575265914E-4</v>
      </c>
      <c r="J310" s="275">
        <f t="shared" si="69"/>
        <v>3.8936167744106861E-3</v>
      </c>
      <c r="K310" s="274">
        <v>0.01</v>
      </c>
      <c r="L310" s="274"/>
      <c r="M310" s="275">
        <f t="shared" si="70"/>
        <v>7.8537789991476634E-2</v>
      </c>
    </row>
    <row r="311" spans="1:13" x14ac:dyDescent="0.25">
      <c r="A311" s="281">
        <f t="shared" si="64"/>
        <v>16</v>
      </c>
      <c r="B311" s="3" t="str">
        <f t="shared" si="65"/>
        <v>15 to 16</v>
      </c>
      <c r="C311" s="3">
        <f t="shared" si="66"/>
        <v>31</v>
      </c>
      <c r="D311" s="286">
        <f t="shared" si="67"/>
        <v>4.6571720449492218E-4</v>
      </c>
      <c r="E311" s="3">
        <f t="shared" si="68"/>
        <v>66564</v>
      </c>
      <c r="G311" s="267">
        <f t="shared" si="71"/>
        <v>16</v>
      </c>
      <c r="H311" s="310">
        <f t="shared" si="72"/>
        <v>8.0279923622223333</v>
      </c>
      <c r="I311" s="274">
        <f t="shared" si="73"/>
        <v>4.6571720449492218E-4</v>
      </c>
      <c r="J311" s="275">
        <f t="shared" si="69"/>
        <v>3.7387741606407718E-3</v>
      </c>
      <c r="K311" s="274">
        <v>0.01</v>
      </c>
      <c r="L311" s="274"/>
      <c r="M311" s="275">
        <f t="shared" si="70"/>
        <v>8.0279923622223331E-2</v>
      </c>
    </row>
    <row r="312" spans="1:13" x14ac:dyDescent="0.25">
      <c r="A312" s="281">
        <f t="shared" si="64"/>
        <v>15</v>
      </c>
      <c r="B312" s="3" t="str">
        <f t="shared" si="65"/>
        <v>14 to 15</v>
      </c>
      <c r="C312" s="3">
        <f t="shared" si="66"/>
        <v>29</v>
      </c>
      <c r="D312" s="286">
        <f t="shared" si="67"/>
        <v>4.3567093323718526E-4</v>
      </c>
      <c r="E312" s="3">
        <f t="shared" si="68"/>
        <v>66564</v>
      </c>
      <c r="G312" s="267">
        <f t="shared" si="71"/>
        <v>15</v>
      </c>
      <c r="H312" s="310">
        <f t="shared" si="72"/>
        <v>8.2135417019265642</v>
      </c>
      <c r="I312" s="274">
        <f t="shared" si="73"/>
        <v>4.3567093323718526E-4</v>
      </c>
      <c r="J312" s="275">
        <f t="shared" si="69"/>
        <v>3.5784013784608852E-3</v>
      </c>
      <c r="K312" s="274">
        <v>0.01</v>
      </c>
      <c r="L312" s="274"/>
      <c r="M312" s="275">
        <f t="shared" si="70"/>
        <v>8.2135417019265647E-2</v>
      </c>
    </row>
    <row r="313" spans="1:13" x14ac:dyDescent="0.25">
      <c r="A313" s="281">
        <f t="shared" si="64"/>
        <v>14</v>
      </c>
      <c r="B313" s="3" t="str">
        <f t="shared" si="65"/>
        <v>13 to 14</v>
      </c>
      <c r="C313" s="3">
        <f t="shared" si="66"/>
        <v>27</v>
      </c>
      <c r="D313" s="286">
        <f t="shared" si="67"/>
        <v>4.0562466197944835E-4</v>
      </c>
      <c r="E313" s="3">
        <f t="shared" si="68"/>
        <v>66564</v>
      </c>
      <c r="G313" s="267">
        <f t="shared" si="71"/>
        <v>14</v>
      </c>
      <c r="H313" s="310">
        <f t="shared" si="72"/>
        <v>8.411986490134753</v>
      </c>
      <c r="I313" s="274">
        <f t="shared" si="73"/>
        <v>4.0562466197944835E-4</v>
      </c>
      <c r="J313" s="275">
        <f t="shared" si="69"/>
        <v>3.4121091766365955E-3</v>
      </c>
      <c r="K313" s="274">
        <v>0.01</v>
      </c>
      <c r="L313" s="274"/>
      <c r="M313" s="275">
        <f t="shared" si="70"/>
        <v>8.4119864901347527E-2</v>
      </c>
    </row>
    <row r="314" spans="1:13" x14ac:dyDescent="0.25">
      <c r="A314" s="281">
        <f t="shared" si="64"/>
        <v>13</v>
      </c>
      <c r="B314" s="3" t="str">
        <f t="shared" si="65"/>
        <v>12 to 13</v>
      </c>
      <c r="C314" s="3">
        <f t="shared" si="66"/>
        <v>25</v>
      </c>
      <c r="D314" s="286">
        <f t="shared" si="67"/>
        <v>3.7557839072171144E-4</v>
      </c>
      <c r="E314" s="3">
        <f t="shared" si="68"/>
        <v>66564</v>
      </c>
      <c r="G314" s="267">
        <f t="shared" si="71"/>
        <v>13</v>
      </c>
      <c r="H314" s="310">
        <f t="shared" si="72"/>
        <v>8.625233305320446</v>
      </c>
      <c r="I314" s="274">
        <f t="shared" si="73"/>
        <v>3.7557839072171144E-4</v>
      </c>
      <c r="J314" s="275">
        <f t="shared" si="69"/>
        <v>3.2394512444115613E-3</v>
      </c>
      <c r="K314" s="274">
        <v>0.01</v>
      </c>
      <c r="L314" s="274"/>
      <c r="M314" s="275">
        <f t="shared" si="70"/>
        <v>8.6252333053204455E-2</v>
      </c>
    </row>
    <row r="315" spans="1:13" x14ac:dyDescent="0.25">
      <c r="A315" s="281">
        <f t="shared" si="64"/>
        <v>12</v>
      </c>
      <c r="B315" s="3" t="str">
        <f t="shared" si="65"/>
        <v>11 to 12</v>
      </c>
      <c r="C315" s="3">
        <f t="shared" si="66"/>
        <v>23</v>
      </c>
      <c r="D315" s="286">
        <f t="shared" si="67"/>
        <v>3.4553211946397453E-4</v>
      </c>
      <c r="E315" s="3">
        <f t="shared" si="68"/>
        <v>66564</v>
      </c>
      <c r="G315" s="267">
        <f t="shared" si="71"/>
        <v>12</v>
      </c>
      <c r="H315" s="310">
        <f t="shared" si="72"/>
        <v>8.855647166027266</v>
      </c>
      <c r="I315" s="274">
        <f t="shared" si="73"/>
        <v>3.4553211946397453E-4</v>
      </c>
      <c r="J315" s="275">
        <f t="shared" si="69"/>
        <v>3.0599105345025406E-3</v>
      </c>
      <c r="K315" s="274">
        <v>0.01</v>
      </c>
      <c r="L315" s="274"/>
      <c r="M315" s="275">
        <f t="shared" si="70"/>
        <v>8.8556471660272668E-2</v>
      </c>
    </row>
    <row r="316" spans="1:13" x14ac:dyDescent="0.25">
      <c r="A316" s="281">
        <f t="shared" si="64"/>
        <v>11</v>
      </c>
      <c r="B316" s="3" t="str">
        <f t="shared" si="65"/>
        <v>10 to 11</v>
      </c>
      <c r="C316" s="3">
        <f t="shared" si="66"/>
        <v>21</v>
      </c>
      <c r="D316" s="286">
        <f t="shared" si="67"/>
        <v>3.1548584820623762E-4</v>
      </c>
      <c r="E316" s="3">
        <f t="shared" si="68"/>
        <v>66564</v>
      </c>
      <c r="G316" s="267">
        <f t="shared" si="71"/>
        <v>11</v>
      </c>
      <c r="H316" s="310">
        <f t="shared" si="72"/>
        <v>9.1062114230353988</v>
      </c>
      <c r="I316" s="274">
        <f t="shared" si="73"/>
        <v>3.1548584820623762E-4</v>
      </c>
      <c r="J316" s="275">
        <f t="shared" si="69"/>
        <v>2.8728808347416529E-3</v>
      </c>
      <c r="K316" s="274">
        <v>0.02</v>
      </c>
      <c r="L316" s="274"/>
      <c r="M316" s="275">
        <f t="shared" si="70"/>
        <v>0.18212422846070797</v>
      </c>
    </row>
    <row r="317" spans="1:13" x14ac:dyDescent="0.25">
      <c r="A317" s="281">
        <f t="shared" si="64"/>
        <v>10</v>
      </c>
      <c r="B317" s="3" t="str">
        <f t="shared" si="65"/>
        <v>9 to 10</v>
      </c>
      <c r="C317" s="3">
        <f t="shared" si="66"/>
        <v>19</v>
      </c>
      <c r="D317" s="286">
        <f t="shared" si="67"/>
        <v>2.8543957694850071E-4</v>
      </c>
      <c r="E317" s="3">
        <f t="shared" si="68"/>
        <v>66564</v>
      </c>
      <c r="G317" s="267">
        <f t="shared" si="71"/>
        <v>10</v>
      </c>
      <c r="H317" s="310">
        <f t="shared" si="72"/>
        <v>9.3807640749851089</v>
      </c>
      <c r="I317" s="274">
        <f t="shared" si="73"/>
        <v>2.8543957694850071E-4</v>
      </c>
      <c r="J317" s="275">
        <f t="shared" si="69"/>
        <v>2.6776413290174432E-3</v>
      </c>
      <c r="K317" s="274">
        <v>0.02</v>
      </c>
      <c r="L317" s="274"/>
      <c r="M317" s="275">
        <f t="shared" si="70"/>
        <v>0.18761528149970219</v>
      </c>
    </row>
    <row r="318" spans="1:13" x14ac:dyDescent="0.25">
      <c r="A318" s="281">
        <f t="shared" si="64"/>
        <v>9</v>
      </c>
      <c r="B318" s="3" t="str">
        <f t="shared" si="65"/>
        <v>8 to 9</v>
      </c>
      <c r="C318" s="3">
        <f t="shared" si="66"/>
        <v>17</v>
      </c>
      <c r="D318" s="286">
        <f t="shared" si="67"/>
        <v>2.553933056907638E-4</v>
      </c>
      <c r="E318" s="3">
        <f t="shared" si="68"/>
        <v>66564</v>
      </c>
      <c r="G318" s="267">
        <f t="shared" si="71"/>
        <v>9</v>
      </c>
      <c r="H318" s="310">
        <f t="shared" si="72"/>
        <v>9.6843590187338968</v>
      </c>
      <c r="I318" s="274">
        <f t="shared" si="73"/>
        <v>2.553933056907638E-4</v>
      </c>
      <c r="J318" s="275">
        <f t="shared" si="69"/>
        <v>2.4733204632906114E-3</v>
      </c>
      <c r="K318" s="274">
        <v>0.02</v>
      </c>
      <c r="L318" s="274"/>
      <c r="M318" s="275">
        <f t="shared" si="70"/>
        <v>0.19368718037467794</v>
      </c>
    </row>
    <row r="319" spans="1:13" x14ac:dyDescent="0.25">
      <c r="A319" s="281">
        <f t="shared" si="64"/>
        <v>8</v>
      </c>
      <c r="B319" s="3" t="str">
        <f t="shared" si="65"/>
        <v>7 to 8</v>
      </c>
      <c r="C319" s="3">
        <f t="shared" si="66"/>
        <v>15</v>
      </c>
      <c r="D319" s="286">
        <f t="shared" si="67"/>
        <v>2.2534703443302686E-4</v>
      </c>
      <c r="E319" s="3">
        <f t="shared" si="68"/>
        <v>66564</v>
      </c>
      <c r="G319" s="267">
        <f t="shared" si="71"/>
        <v>8</v>
      </c>
      <c r="H319" s="310">
        <f t="shared" si="72"/>
        <v>10.023840967836763</v>
      </c>
      <c r="I319" s="274">
        <f t="shared" si="73"/>
        <v>2.2534703443302686E-4</v>
      </c>
      <c r="J319" s="275">
        <f t="shared" si="69"/>
        <v>2.2588428357302962E-3</v>
      </c>
      <c r="K319" s="274">
        <v>0.02</v>
      </c>
      <c r="L319" s="274"/>
      <c r="M319" s="275">
        <f t="shared" si="70"/>
        <v>0.20047681935673528</v>
      </c>
    </row>
    <row r="320" spans="1:13" x14ac:dyDescent="0.25">
      <c r="A320" s="281">
        <f t="shared" si="64"/>
        <v>7</v>
      </c>
      <c r="B320" s="3" t="str">
        <f t="shared" si="65"/>
        <v>6 to 7</v>
      </c>
      <c r="C320" s="3">
        <f t="shared" si="66"/>
        <v>13</v>
      </c>
      <c r="D320" s="286">
        <f t="shared" si="67"/>
        <v>1.9530076317528995E-4</v>
      </c>
      <c r="E320" s="3">
        <f t="shared" si="68"/>
        <v>66564</v>
      </c>
      <c r="G320" s="267">
        <f t="shared" si="71"/>
        <v>7</v>
      </c>
      <c r="H320" s="310">
        <f t="shared" si="72"/>
        <v>10.408806292390288</v>
      </c>
      <c r="I320" s="274">
        <f t="shared" si="73"/>
        <v>1.9530076317528995E-4</v>
      </c>
      <c r="J320" s="275">
        <f t="shared" si="69"/>
        <v>2.0328478126475833E-3</v>
      </c>
      <c r="K320" s="274">
        <v>0.02</v>
      </c>
      <c r="L320" s="274"/>
      <c r="M320" s="275">
        <f t="shared" si="70"/>
        <v>0.20817612584780576</v>
      </c>
    </row>
    <row r="321" spans="1:13" x14ac:dyDescent="0.25">
      <c r="A321" s="281">
        <f t="shared" si="64"/>
        <v>6</v>
      </c>
      <c r="B321" s="3" t="str">
        <f t="shared" si="65"/>
        <v>5 to 6</v>
      </c>
      <c r="C321" s="3">
        <f t="shared" si="66"/>
        <v>11</v>
      </c>
      <c r="D321" s="286">
        <f t="shared" si="67"/>
        <v>1.6525449191755304E-4</v>
      </c>
      <c r="E321" s="3">
        <f t="shared" si="68"/>
        <v>66564</v>
      </c>
      <c r="G321" s="267">
        <f t="shared" si="71"/>
        <v>6</v>
      </c>
      <c r="H321" s="310">
        <f t="shared" si="72"/>
        <v>10.853309555403674</v>
      </c>
      <c r="I321" s="274">
        <f t="shared" si="73"/>
        <v>1.6525449191755304E-4</v>
      </c>
      <c r="J321" s="275">
        <f t="shared" si="69"/>
        <v>1.7935581562021578E-3</v>
      </c>
      <c r="K321" s="274">
        <v>0.02</v>
      </c>
      <c r="L321" s="274"/>
      <c r="M321" s="275">
        <f t="shared" si="70"/>
        <v>0.21706619110807349</v>
      </c>
    </row>
    <row r="322" spans="1:13" x14ac:dyDescent="0.25">
      <c r="A322" s="281">
        <f t="shared" si="64"/>
        <v>5</v>
      </c>
      <c r="B322" s="3" t="str">
        <f t="shared" si="65"/>
        <v>4 to 5</v>
      </c>
      <c r="C322" s="3">
        <f t="shared" si="66"/>
        <v>9</v>
      </c>
      <c r="D322" s="286">
        <f t="shared" si="67"/>
        <v>1.3520822065981613E-4</v>
      </c>
      <c r="E322" s="3">
        <f t="shared" si="68"/>
        <v>66564</v>
      </c>
      <c r="G322" s="267">
        <f t="shared" si="71"/>
        <v>5</v>
      </c>
      <c r="H322" s="310">
        <f t="shared" si="72"/>
        <v>11.379140064426361</v>
      </c>
      <c r="I322" s="274">
        <f t="shared" si="73"/>
        <v>1.3520822065981613E-4</v>
      </c>
      <c r="J322" s="275">
        <f t="shared" si="69"/>
        <v>1.5385532807499138E-3</v>
      </c>
      <c r="K322" s="274">
        <v>0.03</v>
      </c>
      <c r="L322" s="274"/>
      <c r="M322" s="275">
        <f t="shared" si="70"/>
        <v>0.34137420193279083</v>
      </c>
    </row>
    <row r="323" spans="1:13" x14ac:dyDescent="0.25">
      <c r="A323" s="281">
        <f t="shared" si="64"/>
        <v>4</v>
      </c>
      <c r="B323" s="3" t="str">
        <f t="shared" si="65"/>
        <v>3 to 4</v>
      </c>
      <c r="C323" s="3">
        <f t="shared" si="66"/>
        <v>7</v>
      </c>
      <c r="D323" s="286">
        <f t="shared" si="67"/>
        <v>1.051619494020792E-4</v>
      </c>
      <c r="E323" s="3">
        <f t="shared" si="68"/>
        <v>66564</v>
      </c>
      <c r="G323" s="267">
        <f t="shared" si="71"/>
        <v>4</v>
      </c>
      <c r="H323" s="310">
        <f t="shared" si="72"/>
        <v>12.022801250027626</v>
      </c>
      <c r="I323" s="274">
        <f t="shared" si="73"/>
        <v>1.051619494020792E-4</v>
      </c>
      <c r="J323" s="275">
        <f t="shared" si="69"/>
        <v>1.2643412167266598E-3</v>
      </c>
      <c r="K323" s="274">
        <v>0.03</v>
      </c>
      <c r="L323" s="274"/>
      <c r="M323" s="275">
        <f t="shared" si="70"/>
        <v>0.36068403750082878</v>
      </c>
    </row>
    <row r="324" spans="1:13" x14ac:dyDescent="0.25">
      <c r="A324" s="281">
        <f t="shared" si="64"/>
        <v>3</v>
      </c>
      <c r="B324" s="3" t="str">
        <f t="shared" si="65"/>
        <v>2 to 3</v>
      </c>
      <c r="C324" s="3">
        <f t="shared" si="66"/>
        <v>5</v>
      </c>
      <c r="D324" s="286">
        <f t="shared" si="67"/>
        <v>7.5115678144342291E-5</v>
      </c>
      <c r="E324" s="3">
        <f t="shared" si="68"/>
        <v>66564</v>
      </c>
      <c r="G324" s="267">
        <f t="shared" si="71"/>
        <v>3</v>
      </c>
      <c r="H324" s="310">
        <f t="shared" si="72"/>
        <v>12.852724560447674</v>
      </c>
      <c r="I324" s="274">
        <f t="shared" si="73"/>
        <v>7.5115678144342291E-5</v>
      </c>
      <c r="J324" s="275">
        <f t="shared" si="69"/>
        <v>9.6544112136047076E-4</v>
      </c>
      <c r="K324" s="274">
        <v>0.03</v>
      </c>
      <c r="L324" s="274"/>
      <c r="M324" s="275">
        <f t="shared" si="70"/>
        <v>0.38558173681343022</v>
      </c>
    </row>
    <row r="325" spans="1:13" x14ac:dyDescent="0.25">
      <c r="A325" s="281">
        <f t="shared" ref="A325" si="74">A326+1</f>
        <v>2</v>
      </c>
      <c r="B325" s="3" t="str">
        <f t="shared" ref="B325:B326" si="75">(A325-1) &amp; " to " &amp;A325</f>
        <v>1 to 2</v>
      </c>
      <c r="C325" s="3">
        <f t="shared" si="66"/>
        <v>3</v>
      </c>
      <c r="D325" s="286">
        <f t="shared" ref="D325:D326" si="76">(2*A325-1)/E325</f>
        <v>4.5069406886605373E-5</v>
      </c>
      <c r="E325" s="3">
        <f t="shared" ref="E325" si="77">E326</f>
        <v>66564</v>
      </c>
      <c r="G325" s="267">
        <f t="shared" si="71"/>
        <v>2</v>
      </c>
      <c r="H325" s="310">
        <f t="shared" si="72"/>
        <v>14.022541203454827</v>
      </c>
      <c r="I325" s="274">
        <f t="shared" si="73"/>
        <v>4.5069406886605373E-5</v>
      </c>
      <c r="J325" s="275">
        <f t="shared" ref="J325:J326" si="78">I325*$H325</f>
        <v>6.3198761508269461E-4</v>
      </c>
      <c r="K325" s="274">
        <v>0.03</v>
      </c>
      <c r="L325" s="274"/>
      <c r="M325" s="275">
        <f t="shared" ref="M325:M326" si="79">K325*$H325</f>
        <v>0.4206762361036448</v>
      </c>
    </row>
    <row r="326" spans="1:13" ht="15.75" thickBot="1" x14ac:dyDescent="0.3">
      <c r="A326" s="314">
        <v>1</v>
      </c>
      <c r="B326" s="296" t="str">
        <f t="shared" si="75"/>
        <v>0 to 1</v>
      </c>
      <c r="C326" s="296">
        <f t="shared" si="66"/>
        <v>1</v>
      </c>
      <c r="D326" s="297">
        <f t="shared" si="76"/>
        <v>1.5023135628868457E-5</v>
      </c>
      <c r="E326" s="3">
        <f>E327</f>
        <v>66564</v>
      </c>
      <c r="G326" s="301">
        <f t="shared" si="71"/>
        <v>1</v>
      </c>
      <c r="H326" s="311">
        <f t="shared" si="72"/>
        <v>16.022476184486976</v>
      </c>
      <c r="I326" s="297">
        <f t="shared" si="73"/>
        <v>1.5023135628868457E-5</v>
      </c>
      <c r="J326" s="299">
        <f t="shared" si="78"/>
        <v>2.4070783282986263E-4</v>
      </c>
      <c r="K326" s="297">
        <v>0.03</v>
      </c>
      <c r="L326" s="297"/>
      <c r="M326" s="299">
        <f t="shared" si="79"/>
        <v>0.48067428553460928</v>
      </c>
    </row>
    <row r="327" spans="1:13" ht="15.75" thickTop="1" x14ac:dyDescent="0.25">
      <c r="A327" s="291" t="s">
        <v>326</v>
      </c>
      <c r="B327" s="292"/>
      <c r="C327" s="293"/>
      <c r="D327" s="294">
        <f>SUM(D69:D326)</f>
        <v>1</v>
      </c>
      <c r="E327" s="278">
        <f>A69^2</f>
        <v>66564</v>
      </c>
      <c r="G327" s="313" t="s">
        <v>326</v>
      </c>
      <c r="H327" s="312"/>
      <c r="I327" s="294">
        <f>SUM(I69:I326)</f>
        <v>1</v>
      </c>
      <c r="J327" s="298">
        <f t="shared" ref="J327:M327" si="80">SUM(J69:J326)</f>
        <v>1.9913134717073757</v>
      </c>
      <c r="K327" s="294">
        <f t="shared" si="80"/>
        <v>1.0000000000000007</v>
      </c>
      <c r="L327" s="294"/>
      <c r="M327" s="298">
        <f t="shared" si="80"/>
        <v>7.0158490548208414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79FA6F-E006-4D40-8025-991027440A2B}">
  <dimension ref="A1:R77"/>
  <sheetViews>
    <sheetView workbookViewId="0">
      <pane xSplit="1" ySplit="5" topLeftCell="B6" activePane="bottomRight" state="frozenSplit"/>
      <selection pane="topRight" activeCell="B1" sqref="B1"/>
      <selection pane="bottomLeft" activeCell="A5" sqref="A5"/>
      <selection pane="bottomRight" activeCell="J19" sqref="J19:K20"/>
    </sheetView>
  </sheetViews>
  <sheetFormatPr baseColWidth="10" defaultColWidth="11.42578125" defaultRowHeight="15" x14ac:dyDescent="0.25"/>
  <cols>
    <col min="1" max="1" width="28.5703125" style="106" customWidth="1"/>
    <col min="2" max="11" width="9.42578125" style="68" customWidth="1"/>
    <col min="12" max="25" width="11.42578125" style="106"/>
    <col min="26" max="27" width="11.42578125" style="106" customWidth="1"/>
    <col min="28" max="16384" width="11.42578125" style="106"/>
  </cols>
  <sheetData>
    <row r="1" spans="1:12" ht="18.75" x14ac:dyDescent="0.25">
      <c r="A1" s="470" t="s">
        <v>429</v>
      </c>
    </row>
    <row r="2" spans="1:12" ht="15.75" thickBot="1" x14ac:dyDescent="0.3">
      <c r="B2" s="121"/>
      <c r="C2" s="121"/>
      <c r="D2" s="121"/>
      <c r="E2" s="121"/>
      <c r="F2" s="121"/>
      <c r="G2" s="121"/>
      <c r="H2" s="121"/>
      <c r="I2" s="121"/>
      <c r="J2" s="121"/>
      <c r="K2" s="121"/>
    </row>
    <row r="3" spans="1:12" ht="15.75" thickBot="1" x14ac:dyDescent="0.3">
      <c r="A3" s="350" t="s">
        <v>428</v>
      </c>
      <c r="B3" s="817" t="s">
        <v>431</v>
      </c>
      <c r="C3" s="818"/>
      <c r="D3" s="817" t="s">
        <v>435</v>
      </c>
      <c r="E3" s="818"/>
      <c r="F3" s="817" t="s">
        <v>434</v>
      </c>
      <c r="G3" s="818"/>
      <c r="H3" s="817" t="s">
        <v>433</v>
      </c>
      <c r="I3" s="818"/>
      <c r="J3" s="817" t="s">
        <v>432</v>
      </c>
      <c r="K3" s="818"/>
      <c r="L3" s="353"/>
    </row>
    <row r="4" spans="1:12" ht="15.75" thickBot="1" x14ac:dyDescent="0.3">
      <c r="A4" s="493" t="s">
        <v>427</v>
      </c>
      <c r="B4" s="809" t="s">
        <v>426</v>
      </c>
      <c r="C4" s="810"/>
      <c r="D4" s="809" t="s">
        <v>425</v>
      </c>
      <c r="E4" s="810"/>
      <c r="F4" s="809" t="s">
        <v>426</v>
      </c>
      <c r="G4" s="810"/>
      <c r="H4" s="802" t="s">
        <v>425</v>
      </c>
      <c r="I4" s="803"/>
      <c r="J4" s="803"/>
      <c r="K4" s="804"/>
      <c r="L4" s="353"/>
    </row>
    <row r="5" spans="1:12" ht="26.25" thickBot="1" x14ac:dyDescent="0.3">
      <c r="A5" s="493" t="s">
        <v>440</v>
      </c>
      <c r="B5" s="476" t="s">
        <v>454</v>
      </c>
      <c r="C5" s="477" t="s">
        <v>455</v>
      </c>
      <c r="D5" s="476" t="str">
        <f>B5</f>
        <v>Minimum
Capacity</v>
      </c>
      <c r="E5" s="477" t="str">
        <f t="shared" ref="E5:K5" si="0">C5</f>
        <v>Maximum
Capacity</v>
      </c>
      <c r="F5" s="476" t="str">
        <f t="shared" si="0"/>
        <v>Minimum
Capacity</v>
      </c>
      <c r="G5" s="477" t="str">
        <f t="shared" si="0"/>
        <v>Maximum
Capacity</v>
      </c>
      <c r="H5" s="476" t="str">
        <f t="shared" si="0"/>
        <v>Minimum
Capacity</v>
      </c>
      <c r="I5" s="477" t="str">
        <f t="shared" si="0"/>
        <v>Maximum
Capacity</v>
      </c>
      <c r="J5" s="476" t="str">
        <f t="shared" si="0"/>
        <v>Minimum
Capacity</v>
      </c>
      <c r="K5" s="477" t="str">
        <f t="shared" si="0"/>
        <v>Maximum
Capacity</v>
      </c>
      <c r="L5" s="353"/>
    </row>
    <row r="6" spans="1:12" ht="15" customHeight="1" thickBot="1" x14ac:dyDescent="0.3">
      <c r="A6" s="811" t="s">
        <v>443</v>
      </c>
      <c r="B6" s="812"/>
      <c r="C6" s="812"/>
      <c r="D6" s="812"/>
      <c r="E6" s="812"/>
      <c r="F6" s="812"/>
      <c r="G6" s="812"/>
      <c r="H6" s="812"/>
      <c r="I6" s="812"/>
      <c r="J6" s="812"/>
      <c r="K6" s="813"/>
      <c r="L6" s="353"/>
    </row>
    <row r="7" spans="1:12" ht="15.75" thickBot="1" x14ac:dyDescent="0.3">
      <c r="A7" s="492" t="s">
        <v>424</v>
      </c>
      <c r="B7" s="469">
        <v>1</v>
      </c>
      <c r="C7" s="468">
        <v>2</v>
      </c>
      <c r="D7" s="467">
        <v>4</v>
      </c>
      <c r="E7" s="463">
        <v>14</v>
      </c>
      <c r="F7" s="466">
        <v>1</v>
      </c>
      <c r="G7" s="465">
        <v>2</v>
      </c>
      <c r="H7" s="464">
        <v>4</v>
      </c>
      <c r="I7" s="463">
        <v>14</v>
      </c>
      <c r="J7" s="464">
        <v>4</v>
      </c>
      <c r="K7" s="463">
        <v>14</v>
      </c>
      <c r="L7" s="353"/>
    </row>
    <row r="8" spans="1:12" x14ac:dyDescent="0.25">
      <c r="A8" s="462" t="s">
        <v>423</v>
      </c>
      <c r="B8" s="461">
        <v>1</v>
      </c>
      <c r="C8" s="460">
        <v>1</v>
      </c>
      <c r="D8" s="461">
        <v>1</v>
      </c>
      <c r="E8" s="460">
        <v>1</v>
      </c>
      <c r="F8" s="461">
        <v>1</v>
      </c>
      <c r="G8" s="460">
        <v>16</v>
      </c>
      <c r="H8" s="461">
        <v>1</v>
      </c>
      <c r="I8" s="508">
        <v>20</v>
      </c>
      <c r="J8" s="461">
        <v>1</v>
      </c>
      <c r="K8" s="460">
        <v>1</v>
      </c>
      <c r="L8" s="353"/>
    </row>
    <row r="9" spans="1:12" ht="15.75" thickBot="1" x14ac:dyDescent="0.3">
      <c r="A9" s="459" t="s">
        <v>422</v>
      </c>
      <c r="B9" s="458">
        <v>1</v>
      </c>
      <c r="C9" s="457">
        <v>16</v>
      </c>
      <c r="D9" s="458">
        <v>1</v>
      </c>
      <c r="E9" s="457">
        <v>16</v>
      </c>
      <c r="F9" s="458">
        <v>1</v>
      </c>
      <c r="G9" s="457">
        <v>16</v>
      </c>
      <c r="H9" s="458">
        <v>1</v>
      </c>
      <c r="I9" s="457">
        <v>16</v>
      </c>
      <c r="J9" s="458">
        <v>1</v>
      </c>
      <c r="K9" s="457">
        <v>16</v>
      </c>
      <c r="L9" s="353"/>
    </row>
    <row r="10" spans="1:12" x14ac:dyDescent="0.25">
      <c r="A10" s="435" t="s">
        <v>421</v>
      </c>
      <c r="B10" s="456">
        <f t="shared" ref="B10:K10" si="1">12*B$7*B8</f>
        <v>12</v>
      </c>
      <c r="C10" s="455">
        <f t="shared" si="1"/>
        <v>24</v>
      </c>
      <c r="D10" s="456">
        <f t="shared" si="1"/>
        <v>48</v>
      </c>
      <c r="E10" s="455">
        <f t="shared" si="1"/>
        <v>168</v>
      </c>
      <c r="F10" s="456">
        <f t="shared" si="1"/>
        <v>12</v>
      </c>
      <c r="G10" s="455">
        <f t="shared" si="1"/>
        <v>384</v>
      </c>
      <c r="H10" s="456">
        <f t="shared" si="1"/>
        <v>48</v>
      </c>
      <c r="I10" s="455">
        <f t="shared" si="1"/>
        <v>3360</v>
      </c>
      <c r="J10" s="456">
        <f t="shared" si="1"/>
        <v>48</v>
      </c>
      <c r="K10" s="455">
        <f t="shared" si="1"/>
        <v>168</v>
      </c>
      <c r="L10" s="353"/>
    </row>
    <row r="11" spans="1:12" ht="16.5" thickBot="1" x14ac:dyDescent="0.3">
      <c r="A11" s="454" t="s">
        <v>420</v>
      </c>
      <c r="B11" s="428">
        <f t="shared" ref="B11:K11" si="2">12*B$7*B9</f>
        <v>12</v>
      </c>
      <c r="C11" s="427">
        <f t="shared" si="2"/>
        <v>384</v>
      </c>
      <c r="D11" s="428">
        <f t="shared" si="2"/>
        <v>48</v>
      </c>
      <c r="E11" s="427">
        <f t="shared" si="2"/>
        <v>2688</v>
      </c>
      <c r="F11" s="428">
        <f t="shared" si="2"/>
        <v>12</v>
      </c>
      <c r="G11" s="427">
        <f t="shared" si="2"/>
        <v>384</v>
      </c>
      <c r="H11" s="428">
        <f t="shared" si="2"/>
        <v>48</v>
      </c>
      <c r="I11" s="427">
        <f t="shared" si="2"/>
        <v>2688</v>
      </c>
      <c r="J11" s="428">
        <f t="shared" si="2"/>
        <v>48</v>
      </c>
      <c r="K11" s="427">
        <f t="shared" si="2"/>
        <v>2688</v>
      </c>
      <c r="L11" s="353"/>
    </row>
    <row r="12" spans="1:12" ht="25.5" customHeight="1" thickBot="1" x14ac:dyDescent="0.3">
      <c r="A12" s="473" t="s">
        <v>438</v>
      </c>
      <c r="B12" s="799" t="s">
        <v>0</v>
      </c>
      <c r="C12" s="800"/>
      <c r="D12" s="800"/>
      <c r="E12" s="800"/>
      <c r="F12" s="800"/>
      <c r="G12" s="801"/>
      <c r="H12" s="799" t="s">
        <v>439</v>
      </c>
      <c r="I12" s="800"/>
      <c r="J12" s="800"/>
      <c r="K12" s="801"/>
      <c r="L12" s="353"/>
    </row>
    <row r="13" spans="1:12" ht="15" customHeight="1" x14ac:dyDescent="0.25">
      <c r="A13" s="453" t="s">
        <v>419</v>
      </c>
      <c r="B13" s="452">
        <f>B$7*B8</f>
        <v>1</v>
      </c>
      <c r="C13" s="451">
        <v>1</v>
      </c>
      <c r="D13" s="446">
        <f>D53</f>
        <v>0.4</v>
      </c>
      <c r="E13" s="445">
        <f>D54</f>
        <v>0.5</v>
      </c>
      <c r="F13" s="450">
        <f>2/3</f>
        <v>0.66666666666666663</v>
      </c>
      <c r="G13" s="449">
        <f>2/3</f>
        <v>0.66666666666666663</v>
      </c>
      <c r="H13" s="448">
        <f>$N$75</f>
        <v>0.5</v>
      </c>
      <c r="I13" s="447">
        <f>$N$76</f>
        <v>0.8571428571428571</v>
      </c>
      <c r="J13" s="446">
        <f>$N$75</f>
        <v>0.5</v>
      </c>
      <c r="K13" s="445">
        <f>$N$76</f>
        <v>0.8571428571428571</v>
      </c>
      <c r="L13" s="353"/>
    </row>
    <row r="14" spans="1:12" ht="15" customHeight="1" thickBot="1" x14ac:dyDescent="0.3">
      <c r="A14" s="420" t="s">
        <v>410</v>
      </c>
      <c r="B14" s="444">
        <f>B$7*B9</f>
        <v>1</v>
      </c>
      <c r="C14" s="443">
        <v>1</v>
      </c>
      <c r="D14" s="438">
        <f>D13</f>
        <v>0.4</v>
      </c>
      <c r="E14" s="437">
        <f>E13</f>
        <v>0.5</v>
      </c>
      <c r="F14" s="442">
        <f>2/3</f>
        <v>0.66666666666666663</v>
      </c>
      <c r="G14" s="441">
        <f>2/3</f>
        <v>0.66666666666666663</v>
      </c>
      <c r="H14" s="440">
        <f>$N$75</f>
        <v>0.5</v>
      </c>
      <c r="I14" s="439">
        <f>$N$76</f>
        <v>0.8571428571428571</v>
      </c>
      <c r="J14" s="438">
        <f>$N$75</f>
        <v>0.5</v>
      </c>
      <c r="K14" s="437">
        <f>$N$76</f>
        <v>0.8571428571428571</v>
      </c>
      <c r="L14" s="353"/>
    </row>
    <row r="15" spans="1:12" x14ac:dyDescent="0.25">
      <c r="A15" s="423" t="s">
        <v>418</v>
      </c>
      <c r="B15" s="432">
        <f>B10*B13</f>
        <v>12</v>
      </c>
      <c r="C15" s="431">
        <f>C10*C13</f>
        <v>24</v>
      </c>
      <c r="D15" s="478">
        <f>ROUNDUP(D10*D13,0)</f>
        <v>20</v>
      </c>
      <c r="E15" s="431">
        <f>E10*E13</f>
        <v>84</v>
      </c>
      <c r="F15" s="432">
        <f t="shared" ref="E15:K16" si="3">F10*F13</f>
        <v>8</v>
      </c>
      <c r="G15" s="431">
        <f t="shared" si="3"/>
        <v>256</v>
      </c>
      <c r="H15" s="434">
        <f t="shared" si="3"/>
        <v>24</v>
      </c>
      <c r="I15" s="433">
        <f t="shared" si="3"/>
        <v>2880</v>
      </c>
      <c r="J15" s="432">
        <f t="shared" si="3"/>
        <v>24</v>
      </c>
      <c r="K15" s="431">
        <f t="shared" si="3"/>
        <v>144</v>
      </c>
      <c r="L15" s="353"/>
    </row>
    <row r="16" spans="1:12" ht="15.75" thickBot="1" x14ac:dyDescent="0.3">
      <c r="A16" s="420" t="s">
        <v>410</v>
      </c>
      <c r="B16" s="428">
        <f>B11*B14</f>
        <v>12</v>
      </c>
      <c r="C16" s="427">
        <f>C11*C14</f>
        <v>384</v>
      </c>
      <c r="D16" s="471">
        <f>ROUNDUP(D11*D14,0)</f>
        <v>20</v>
      </c>
      <c r="E16" s="436">
        <f t="shared" si="3"/>
        <v>1344</v>
      </c>
      <c r="F16" s="428">
        <f t="shared" si="3"/>
        <v>8</v>
      </c>
      <c r="G16" s="427">
        <f t="shared" si="3"/>
        <v>256</v>
      </c>
      <c r="H16" s="430">
        <f t="shared" si="3"/>
        <v>24</v>
      </c>
      <c r="I16" s="429">
        <f t="shared" si="3"/>
        <v>2304</v>
      </c>
      <c r="J16" s="428">
        <f t="shared" si="3"/>
        <v>24</v>
      </c>
      <c r="K16" s="427">
        <f t="shared" si="3"/>
        <v>2304</v>
      </c>
      <c r="L16" s="353"/>
    </row>
    <row r="17" spans="1:12" ht="15.75" thickBot="1" x14ac:dyDescent="0.3">
      <c r="A17" s="497" t="s">
        <v>451</v>
      </c>
      <c r="B17" s="496">
        <f>B7</f>
        <v>1</v>
      </c>
      <c r="C17" s="495">
        <v>1</v>
      </c>
      <c r="D17" s="519">
        <v>4</v>
      </c>
      <c r="E17" s="520">
        <v>14</v>
      </c>
      <c r="F17" s="521">
        <v>1</v>
      </c>
      <c r="G17" s="522">
        <v>2</v>
      </c>
      <c r="H17" s="523">
        <v>4</v>
      </c>
      <c r="I17" s="520">
        <v>14</v>
      </c>
      <c r="J17" s="523">
        <v>4</v>
      </c>
      <c r="K17" s="520">
        <v>14</v>
      </c>
      <c r="L17" s="353"/>
    </row>
    <row r="18" spans="1:12" ht="15" customHeight="1" thickBot="1" x14ac:dyDescent="0.3">
      <c r="A18" s="811" t="s">
        <v>442</v>
      </c>
      <c r="B18" s="812"/>
      <c r="C18" s="812"/>
      <c r="D18" s="812"/>
      <c r="E18" s="812"/>
      <c r="F18" s="812"/>
      <c r="G18" s="812"/>
      <c r="H18" s="812"/>
      <c r="I18" s="812"/>
      <c r="J18" s="812"/>
      <c r="K18" s="813"/>
      <c r="L18" s="353"/>
    </row>
    <row r="19" spans="1:12" x14ac:dyDescent="0.25">
      <c r="A19" s="524" t="s">
        <v>452</v>
      </c>
      <c r="B19" s="512" t="s">
        <v>0</v>
      </c>
      <c r="C19" s="513" t="s">
        <v>0</v>
      </c>
      <c r="D19" s="525">
        <v>1</v>
      </c>
      <c r="E19" s="526">
        <v>1</v>
      </c>
      <c r="F19" s="529">
        <f>12*F8</f>
        <v>12</v>
      </c>
      <c r="G19" s="530">
        <f t="shared" ref="G19:I20" si="4">12*G8</f>
        <v>192</v>
      </c>
      <c r="H19" s="529">
        <f>12*H8</f>
        <v>12</v>
      </c>
      <c r="I19" s="530">
        <f t="shared" si="4"/>
        <v>240</v>
      </c>
      <c r="J19" s="529">
        <f>12*J8</f>
        <v>12</v>
      </c>
      <c r="K19" s="530">
        <f t="shared" ref="K19" si="5">12*K8</f>
        <v>12</v>
      </c>
      <c r="L19" s="353"/>
    </row>
    <row r="20" spans="1:12" ht="15.75" thickBot="1" x14ac:dyDescent="0.3">
      <c r="A20" s="420" t="s">
        <v>453</v>
      </c>
      <c r="B20" s="504" t="s">
        <v>0</v>
      </c>
      <c r="C20" s="505" t="s">
        <v>0</v>
      </c>
      <c r="D20" s="527">
        <v>1</v>
      </c>
      <c r="E20" s="528">
        <v>1</v>
      </c>
      <c r="F20" s="531">
        <f t="shared" ref="F20" si="6">12*F9</f>
        <v>12</v>
      </c>
      <c r="G20" s="532">
        <f t="shared" si="4"/>
        <v>192</v>
      </c>
      <c r="H20" s="531">
        <f t="shared" si="4"/>
        <v>12</v>
      </c>
      <c r="I20" s="532">
        <f t="shared" si="4"/>
        <v>192</v>
      </c>
      <c r="J20" s="531">
        <f t="shared" ref="J20:K20" si="7">12*J9</f>
        <v>12</v>
      </c>
      <c r="K20" s="532">
        <f t="shared" si="7"/>
        <v>192</v>
      </c>
      <c r="L20" s="353"/>
    </row>
    <row r="21" spans="1:12" ht="25.5" x14ac:dyDescent="0.25">
      <c r="A21" s="453" t="s">
        <v>445</v>
      </c>
      <c r="B21" s="498">
        <f t="shared" ref="B21:E22" si="8">1/(12*B$7*B8)</f>
        <v>8.3333333333333329E-2</v>
      </c>
      <c r="C21" s="499">
        <f t="shared" si="8"/>
        <v>4.1666666666666664E-2</v>
      </c>
      <c r="D21" s="506">
        <f t="shared" si="8"/>
        <v>2.0833333333333332E-2</v>
      </c>
      <c r="E21" s="510">
        <f t="shared" si="8"/>
        <v>5.9523809523809521E-3</v>
      </c>
      <c r="F21" s="509">
        <v>1</v>
      </c>
      <c r="G21" s="517">
        <v>1</v>
      </c>
      <c r="H21" s="509">
        <v>1</v>
      </c>
      <c r="I21" s="517">
        <v>1</v>
      </c>
      <c r="J21" s="509">
        <v>1</v>
      </c>
      <c r="K21" s="514">
        <v>1</v>
      </c>
      <c r="L21" s="353"/>
    </row>
    <row r="22" spans="1:12" ht="15.75" thickBot="1" x14ac:dyDescent="0.3">
      <c r="A22" s="420" t="s">
        <v>444</v>
      </c>
      <c r="B22" s="501">
        <f t="shared" si="8"/>
        <v>8.3333333333333329E-2</v>
      </c>
      <c r="C22" s="502">
        <f t="shared" si="8"/>
        <v>2.6041666666666665E-3</v>
      </c>
      <c r="D22" s="507">
        <f t="shared" si="8"/>
        <v>2.0833333333333332E-2</v>
      </c>
      <c r="E22" s="511">
        <f t="shared" si="8"/>
        <v>3.720238095238095E-4</v>
      </c>
      <c r="F22" s="515">
        <v>1</v>
      </c>
      <c r="G22" s="518">
        <v>1</v>
      </c>
      <c r="H22" s="515">
        <v>1</v>
      </c>
      <c r="I22" s="518">
        <v>1</v>
      </c>
      <c r="J22" s="515">
        <v>1</v>
      </c>
      <c r="K22" s="516">
        <v>1</v>
      </c>
      <c r="L22" s="353"/>
    </row>
    <row r="23" spans="1:12" ht="25.5" x14ac:dyDescent="0.25">
      <c r="A23" s="453" t="s">
        <v>446</v>
      </c>
      <c r="B23" s="500">
        <f t="shared" ref="B23:K23" si="9">B10*B21</f>
        <v>1</v>
      </c>
      <c r="C23" s="503">
        <f t="shared" si="9"/>
        <v>1</v>
      </c>
      <c r="D23" s="500">
        <f t="shared" si="9"/>
        <v>1</v>
      </c>
      <c r="E23" s="503">
        <f t="shared" si="9"/>
        <v>1</v>
      </c>
      <c r="F23" s="512">
        <f t="shared" si="9"/>
        <v>12</v>
      </c>
      <c r="G23" s="513">
        <f t="shared" si="9"/>
        <v>384</v>
      </c>
      <c r="H23" s="512">
        <f t="shared" si="9"/>
        <v>48</v>
      </c>
      <c r="I23" s="513">
        <f t="shared" si="9"/>
        <v>3360</v>
      </c>
      <c r="J23" s="512">
        <f t="shared" si="9"/>
        <v>48</v>
      </c>
      <c r="K23" s="513">
        <f t="shared" si="9"/>
        <v>168</v>
      </c>
      <c r="L23" s="353"/>
    </row>
    <row r="24" spans="1:12" ht="15.75" thickBot="1" x14ac:dyDescent="0.3">
      <c r="A24" s="420" t="s">
        <v>444</v>
      </c>
      <c r="B24" s="504">
        <f t="shared" ref="B24:K24" si="10">B11*B22</f>
        <v>1</v>
      </c>
      <c r="C24" s="505">
        <f t="shared" si="10"/>
        <v>1</v>
      </c>
      <c r="D24" s="504">
        <f t="shared" si="10"/>
        <v>1</v>
      </c>
      <c r="E24" s="505">
        <f t="shared" si="10"/>
        <v>1</v>
      </c>
      <c r="F24" s="504">
        <f t="shared" si="10"/>
        <v>12</v>
      </c>
      <c r="G24" s="505">
        <f t="shared" si="10"/>
        <v>384</v>
      </c>
      <c r="H24" s="504">
        <f t="shared" si="10"/>
        <v>48</v>
      </c>
      <c r="I24" s="505">
        <f t="shared" si="10"/>
        <v>2688</v>
      </c>
      <c r="J24" s="504">
        <f t="shared" si="10"/>
        <v>48</v>
      </c>
      <c r="K24" s="505">
        <f t="shared" si="10"/>
        <v>2688</v>
      </c>
      <c r="L24" s="353"/>
    </row>
    <row r="25" spans="1:12" ht="25.5" customHeight="1" thickBot="1" x14ac:dyDescent="0.3">
      <c r="A25" s="435" t="s">
        <v>417</v>
      </c>
      <c r="B25" s="805" t="s">
        <v>0</v>
      </c>
      <c r="C25" s="806"/>
      <c r="D25" s="474" t="s">
        <v>416</v>
      </c>
      <c r="E25" s="475" t="s">
        <v>415</v>
      </c>
      <c r="F25" s="799" t="s">
        <v>4</v>
      </c>
      <c r="G25" s="801"/>
      <c r="H25" s="814" t="s">
        <v>430</v>
      </c>
      <c r="I25" s="815"/>
      <c r="J25" s="815"/>
      <c r="K25" s="816"/>
      <c r="L25" s="353"/>
    </row>
    <row r="26" spans="1:12" ht="15.75" thickBot="1" x14ac:dyDescent="0.3">
      <c r="A26" s="420" t="s">
        <v>414</v>
      </c>
      <c r="B26" s="807"/>
      <c r="C26" s="808"/>
      <c r="D26" s="481">
        <v>1</v>
      </c>
      <c r="E26" s="482">
        <v>2</v>
      </c>
      <c r="F26" s="481">
        <v>2</v>
      </c>
      <c r="G26" s="482">
        <v>2</v>
      </c>
      <c r="H26" s="483">
        <v>1</v>
      </c>
      <c r="I26" s="484">
        <v>2</v>
      </c>
      <c r="J26" s="481">
        <v>1</v>
      </c>
      <c r="K26" s="482">
        <v>2</v>
      </c>
      <c r="L26" s="353"/>
    </row>
    <row r="27" spans="1:12" x14ac:dyDescent="0.25">
      <c r="A27" s="423" t="s">
        <v>413</v>
      </c>
      <c r="B27" s="485" t="e">
        <f>LOG(#REF!,2)</f>
        <v>#REF!</v>
      </c>
      <c r="C27" s="486" t="e">
        <f>LOG(#REF!,2)</f>
        <v>#REF!</v>
      </c>
      <c r="D27" s="432">
        <f t="shared" ref="D27:K28" si="11">D$26*D15</f>
        <v>20</v>
      </c>
      <c r="E27" s="431">
        <f t="shared" si="11"/>
        <v>168</v>
      </c>
      <c r="F27" s="432">
        <f t="shared" si="11"/>
        <v>16</v>
      </c>
      <c r="G27" s="431">
        <f t="shared" si="11"/>
        <v>512</v>
      </c>
      <c r="H27" s="434">
        <f t="shared" si="11"/>
        <v>24</v>
      </c>
      <c r="I27" s="433">
        <f t="shared" si="11"/>
        <v>5760</v>
      </c>
      <c r="J27" s="432">
        <f t="shared" si="11"/>
        <v>24</v>
      </c>
      <c r="K27" s="431">
        <f t="shared" si="11"/>
        <v>288</v>
      </c>
      <c r="L27" s="353"/>
    </row>
    <row r="28" spans="1:12" ht="15.75" thickBot="1" x14ac:dyDescent="0.3">
      <c r="A28" s="420" t="s">
        <v>410</v>
      </c>
      <c r="B28" s="487" t="e">
        <f>LOG(#REF!,2)</f>
        <v>#REF!</v>
      </c>
      <c r="C28" s="488" t="e">
        <f>LOG(#REF!,2)</f>
        <v>#REF!</v>
      </c>
      <c r="D28" s="428">
        <f t="shared" si="11"/>
        <v>20</v>
      </c>
      <c r="E28" s="427">
        <f t="shared" si="11"/>
        <v>2688</v>
      </c>
      <c r="F28" s="428">
        <f t="shared" si="11"/>
        <v>16</v>
      </c>
      <c r="G28" s="427">
        <f t="shared" si="11"/>
        <v>512</v>
      </c>
      <c r="H28" s="430">
        <f t="shared" si="11"/>
        <v>24</v>
      </c>
      <c r="I28" s="429">
        <f t="shared" si="11"/>
        <v>4608</v>
      </c>
      <c r="J28" s="428">
        <f t="shared" si="11"/>
        <v>24</v>
      </c>
      <c r="K28" s="427">
        <f t="shared" si="11"/>
        <v>4608</v>
      </c>
      <c r="L28" s="353"/>
    </row>
    <row r="29" spans="1:12" ht="26.25" customHeight="1" thickBot="1" x14ac:dyDescent="0.3">
      <c r="A29" s="435" t="s">
        <v>449</v>
      </c>
      <c r="B29" s="799" t="s">
        <v>0</v>
      </c>
      <c r="C29" s="801"/>
      <c r="D29" s="799" t="s">
        <v>450</v>
      </c>
      <c r="E29" s="801"/>
      <c r="F29" s="799" t="s">
        <v>436</v>
      </c>
      <c r="G29" s="800"/>
      <c r="H29" s="800"/>
      <c r="I29" s="800"/>
      <c r="J29" s="800"/>
      <c r="K29" s="801"/>
      <c r="L29" s="353"/>
    </row>
    <row r="30" spans="1:12" ht="15.75" thickBot="1" x14ac:dyDescent="0.3">
      <c r="A30" s="426" t="s">
        <v>412</v>
      </c>
      <c r="B30" s="479">
        <v>1</v>
      </c>
      <c r="C30" s="480">
        <v>1</v>
      </c>
      <c r="D30" s="479">
        <v>1</v>
      </c>
      <c r="E30" s="480">
        <v>1</v>
      </c>
      <c r="F30" s="425">
        <v>0.08</v>
      </c>
      <c r="G30" s="424">
        <v>0.8</v>
      </c>
      <c r="H30" s="425">
        <v>0.08</v>
      </c>
      <c r="I30" s="424">
        <v>0.8</v>
      </c>
      <c r="J30" s="425">
        <v>0.08</v>
      </c>
      <c r="K30" s="424">
        <v>0.8</v>
      </c>
      <c r="L30" s="353"/>
    </row>
    <row r="31" spans="1:12" x14ac:dyDescent="0.25">
      <c r="A31" s="423" t="s">
        <v>411</v>
      </c>
      <c r="B31" s="422" t="e">
        <f>B$30*#REF!*B27</f>
        <v>#REF!</v>
      </c>
      <c r="C31" s="421" t="e">
        <f>C$30*#REF!*C27</f>
        <v>#REF!</v>
      </c>
      <c r="D31" s="422" t="e">
        <f>D$30*#REF!*D27</f>
        <v>#REF!</v>
      </c>
      <c r="E31" s="421" t="e">
        <f>E$30*#REF!*E27</f>
        <v>#REF!</v>
      </c>
      <c r="F31" s="422" t="e">
        <f>F$30*#REF!*F27</f>
        <v>#REF!</v>
      </c>
      <c r="G31" s="421" t="e">
        <f>G$30*#REF!*G27</f>
        <v>#REF!</v>
      </c>
      <c r="H31" s="422" t="e">
        <f>H$30*#REF!*H27</f>
        <v>#REF!</v>
      </c>
      <c r="I31" s="421" t="e">
        <f>I$30*#REF!*I27</f>
        <v>#REF!</v>
      </c>
      <c r="J31" s="422" t="e">
        <f>J$30*#REF!*J27</f>
        <v>#REF!</v>
      </c>
      <c r="K31" s="421" t="e">
        <f>K$30*#REF!*K27</f>
        <v>#REF!</v>
      </c>
      <c r="L31" s="353"/>
    </row>
    <row r="32" spans="1:12" ht="15.75" thickBot="1" x14ac:dyDescent="0.3">
      <c r="A32" s="420" t="s">
        <v>410</v>
      </c>
      <c r="B32" s="419" t="e">
        <f>B$30*#REF!*B28</f>
        <v>#REF!</v>
      </c>
      <c r="C32" s="418" t="e">
        <f>C$30*#REF!*C28</f>
        <v>#REF!</v>
      </c>
      <c r="D32" s="419" t="e">
        <f>D$30*#REF!*D28</f>
        <v>#REF!</v>
      </c>
      <c r="E32" s="418" t="e">
        <f>E$30*#REF!*E28</f>
        <v>#REF!</v>
      </c>
      <c r="F32" s="419" t="e">
        <f>F$30*#REF!*F28</f>
        <v>#REF!</v>
      </c>
      <c r="G32" s="418" t="e">
        <f>G$30*#REF!*G28</f>
        <v>#REF!</v>
      </c>
      <c r="H32" s="419" t="e">
        <f>H$30*#REF!*H28</f>
        <v>#REF!</v>
      </c>
      <c r="I32" s="418" t="e">
        <f>I$30*#REF!*I28</f>
        <v>#REF!</v>
      </c>
      <c r="J32" s="419" t="e">
        <f>J$30*#REF!*J28</f>
        <v>#REF!</v>
      </c>
      <c r="K32" s="418" t="e">
        <f>K$30*#REF!*K28</f>
        <v>#REF!</v>
      </c>
      <c r="L32" s="353"/>
    </row>
    <row r="33" spans="1:12" ht="26.25" customHeight="1" thickBot="1" x14ac:dyDescent="0.3">
      <c r="A33" s="417" t="s">
        <v>409</v>
      </c>
      <c r="B33" s="840" t="s">
        <v>408</v>
      </c>
      <c r="C33" s="841"/>
      <c r="D33" s="840" t="s">
        <v>447</v>
      </c>
      <c r="E33" s="841"/>
      <c r="F33" s="799" t="s">
        <v>448</v>
      </c>
      <c r="G33" s="800"/>
      <c r="H33" s="800"/>
      <c r="I33" s="800"/>
      <c r="J33" s="800"/>
      <c r="K33" s="801"/>
      <c r="L33" s="353"/>
    </row>
    <row r="34" spans="1:12" ht="30.75" customHeight="1" x14ac:dyDescent="0.25">
      <c r="A34" s="842" t="s">
        <v>441</v>
      </c>
      <c r="B34" s="452">
        <v>6</v>
      </c>
      <c r="C34" s="490">
        <v>6</v>
      </c>
      <c r="D34" s="452">
        <v>36</v>
      </c>
      <c r="E34" s="451">
        <v>36</v>
      </c>
      <c r="F34" s="452">
        <v>1</v>
      </c>
      <c r="G34" s="451">
        <v>1</v>
      </c>
      <c r="H34" s="452">
        <v>1</v>
      </c>
      <c r="I34" s="451">
        <v>1</v>
      </c>
      <c r="J34" s="489">
        <v>4</v>
      </c>
      <c r="K34" s="451">
        <v>4</v>
      </c>
      <c r="L34" s="353"/>
    </row>
    <row r="35" spans="1:12" ht="35.25" customHeight="1" thickBot="1" x14ac:dyDescent="0.3">
      <c r="A35" s="842"/>
      <c r="B35" s="444">
        <v>3</v>
      </c>
      <c r="C35" s="491">
        <v>3</v>
      </c>
      <c r="D35" s="444">
        <v>84</v>
      </c>
      <c r="E35" s="443">
        <v>84</v>
      </c>
      <c r="F35" s="496">
        <v>1</v>
      </c>
      <c r="G35" s="495">
        <v>1</v>
      </c>
      <c r="H35" s="496">
        <v>1</v>
      </c>
      <c r="I35" s="495">
        <v>1</v>
      </c>
      <c r="J35" s="494">
        <v>4</v>
      </c>
      <c r="K35" s="495">
        <v>4</v>
      </c>
      <c r="L35" s="353"/>
    </row>
    <row r="36" spans="1:12" x14ac:dyDescent="0.25">
      <c r="A36" s="416"/>
      <c r="B36" s="415"/>
      <c r="C36" s="415"/>
      <c r="D36" s="415"/>
      <c r="E36" s="415"/>
      <c r="F36" s="415"/>
      <c r="G36" s="415"/>
      <c r="H36" s="415"/>
      <c r="I36" s="415"/>
      <c r="J36" s="415"/>
      <c r="K36" s="415"/>
      <c r="L36" s="347"/>
    </row>
    <row r="40" spans="1:12" ht="30.75" thickBot="1" x14ac:dyDescent="0.3">
      <c r="A40" s="343" t="s">
        <v>407</v>
      </c>
      <c r="B40" s="121"/>
      <c r="C40" s="121"/>
      <c r="D40" s="121"/>
    </row>
    <row r="41" spans="1:12" ht="30" x14ac:dyDescent="0.25">
      <c r="A41" s="373" t="s">
        <v>396</v>
      </c>
      <c r="B41" s="414" t="s">
        <v>406</v>
      </c>
      <c r="C41" s="414" t="s">
        <v>405</v>
      </c>
      <c r="D41" s="413" t="s">
        <v>404</v>
      </c>
      <c r="E41" s="353"/>
      <c r="F41" s="106"/>
      <c r="G41" s="106"/>
      <c r="H41" s="106"/>
      <c r="I41" s="106"/>
      <c r="J41" s="106"/>
      <c r="K41" s="106"/>
    </row>
    <row r="42" spans="1:12" x14ac:dyDescent="0.25">
      <c r="A42" s="411">
        <v>4</v>
      </c>
      <c r="B42" s="68">
        <f t="shared" ref="B42:B52" si="12">ROUNDUP(A42/2,0)</f>
        <v>2</v>
      </c>
      <c r="C42" s="412">
        <f t="shared" ref="C42:C52" si="13">A42-B42</f>
        <v>2</v>
      </c>
      <c r="D42" s="409">
        <f t="shared" ref="D42:D52" si="14">C42/A42</f>
        <v>0.5</v>
      </c>
      <c r="E42" s="353"/>
    </row>
    <row r="43" spans="1:12" x14ac:dyDescent="0.25">
      <c r="A43" s="411">
        <v>5</v>
      </c>
      <c r="B43" s="68">
        <f t="shared" si="12"/>
        <v>3</v>
      </c>
      <c r="C43" s="410">
        <f t="shared" si="13"/>
        <v>2</v>
      </c>
      <c r="D43" s="409">
        <f t="shared" si="14"/>
        <v>0.4</v>
      </c>
      <c r="E43" s="353"/>
    </row>
    <row r="44" spans="1:12" x14ac:dyDescent="0.25">
      <c r="A44" s="411">
        <v>6</v>
      </c>
      <c r="B44" s="68">
        <f t="shared" si="12"/>
        <v>3</v>
      </c>
      <c r="C44" s="410">
        <f t="shared" si="13"/>
        <v>3</v>
      </c>
      <c r="D44" s="409">
        <f t="shared" si="14"/>
        <v>0.5</v>
      </c>
      <c r="E44" s="353"/>
    </row>
    <row r="45" spans="1:12" x14ac:dyDescent="0.25">
      <c r="A45" s="411">
        <v>7</v>
      </c>
      <c r="B45" s="68">
        <f t="shared" si="12"/>
        <v>4</v>
      </c>
      <c r="C45" s="410">
        <f t="shared" si="13"/>
        <v>3</v>
      </c>
      <c r="D45" s="409">
        <f t="shared" si="14"/>
        <v>0.42857142857142855</v>
      </c>
      <c r="E45" s="353"/>
    </row>
    <row r="46" spans="1:12" x14ac:dyDescent="0.25">
      <c r="A46" s="411">
        <v>8</v>
      </c>
      <c r="B46" s="68">
        <f t="shared" si="12"/>
        <v>4</v>
      </c>
      <c r="C46" s="410">
        <f t="shared" si="13"/>
        <v>4</v>
      </c>
      <c r="D46" s="409">
        <f t="shared" si="14"/>
        <v>0.5</v>
      </c>
      <c r="E46" s="401"/>
    </row>
    <row r="47" spans="1:12" x14ac:dyDescent="0.25">
      <c r="A47" s="411">
        <v>9</v>
      </c>
      <c r="B47" s="68">
        <f t="shared" si="12"/>
        <v>5</v>
      </c>
      <c r="C47" s="410">
        <f t="shared" si="13"/>
        <v>4</v>
      </c>
      <c r="D47" s="409">
        <f t="shared" si="14"/>
        <v>0.44444444444444442</v>
      </c>
      <c r="E47" s="401"/>
    </row>
    <row r="48" spans="1:12" x14ac:dyDescent="0.25">
      <c r="A48" s="411">
        <v>10</v>
      </c>
      <c r="B48" s="68">
        <f t="shared" si="12"/>
        <v>5</v>
      </c>
      <c r="C48" s="410">
        <f t="shared" si="13"/>
        <v>5</v>
      </c>
      <c r="D48" s="409">
        <f t="shared" si="14"/>
        <v>0.5</v>
      </c>
      <c r="E48" s="401"/>
    </row>
    <row r="49" spans="1:18" x14ac:dyDescent="0.25">
      <c r="A49" s="411">
        <v>11</v>
      </c>
      <c r="B49" s="68">
        <f t="shared" si="12"/>
        <v>6</v>
      </c>
      <c r="C49" s="410">
        <f t="shared" si="13"/>
        <v>5</v>
      </c>
      <c r="D49" s="409">
        <f t="shared" si="14"/>
        <v>0.45454545454545453</v>
      </c>
      <c r="E49" s="401"/>
    </row>
    <row r="50" spans="1:18" x14ac:dyDescent="0.25">
      <c r="A50" s="411">
        <v>12</v>
      </c>
      <c r="B50" s="68">
        <f t="shared" si="12"/>
        <v>6</v>
      </c>
      <c r="C50" s="410">
        <f t="shared" si="13"/>
        <v>6</v>
      </c>
      <c r="D50" s="409">
        <f t="shared" si="14"/>
        <v>0.5</v>
      </c>
      <c r="E50" s="401"/>
    </row>
    <row r="51" spans="1:18" x14ac:dyDescent="0.25">
      <c r="A51" s="411">
        <v>13</v>
      </c>
      <c r="B51" s="68">
        <f t="shared" si="12"/>
        <v>7</v>
      </c>
      <c r="C51" s="410">
        <f t="shared" si="13"/>
        <v>6</v>
      </c>
      <c r="D51" s="409">
        <f t="shared" si="14"/>
        <v>0.46153846153846156</v>
      </c>
      <c r="E51" s="401"/>
    </row>
    <row r="52" spans="1:18" ht="15.75" thickBot="1" x14ac:dyDescent="0.3">
      <c r="A52" s="408">
        <v>14</v>
      </c>
      <c r="B52" s="121">
        <f t="shared" si="12"/>
        <v>7</v>
      </c>
      <c r="C52" s="407">
        <f t="shared" si="13"/>
        <v>7</v>
      </c>
      <c r="D52" s="406">
        <f t="shared" si="14"/>
        <v>0.5</v>
      </c>
      <c r="E52" s="401"/>
    </row>
    <row r="53" spans="1:18" x14ac:dyDescent="0.25">
      <c r="A53" s="371" t="s">
        <v>379</v>
      </c>
      <c r="B53" s="370"/>
      <c r="C53" s="405">
        <f>MIN(C$42:C$52)</f>
        <v>2</v>
      </c>
      <c r="D53" s="404">
        <f>MIN(D$42:D$52)</f>
        <v>0.4</v>
      </c>
      <c r="E53" s="401"/>
    </row>
    <row r="54" spans="1:18" ht="15.75" thickBot="1" x14ac:dyDescent="0.3">
      <c r="A54" s="363" t="s">
        <v>378</v>
      </c>
      <c r="B54" s="362"/>
      <c r="C54" s="403">
        <f>MAX(C$42:C$52)</f>
        <v>7</v>
      </c>
      <c r="D54" s="402">
        <f>MAX(D$42:D$52)</f>
        <v>0.5</v>
      </c>
      <c r="E54" s="401"/>
    </row>
    <row r="55" spans="1:18" x14ac:dyDescent="0.25">
      <c r="A55" s="351"/>
      <c r="B55" s="352"/>
      <c r="C55" s="352"/>
      <c r="D55" s="352"/>
    </row>
    <row r="57" spans="1:18" ht="15.75" thickBot="1" x14ac:dyDescent="0.3"/>
    <row r="58" spans="1:18" x14ac:dyDescent="0.25">
      <c r="A58" s="819" t="s">
        <v>437</v>
      </c>
      <c r="B58" s="821" t="s">
        <v>403</v>
      </c>
      <c r="C58" s="822"/>
      <c r="D58" s="822"/>
      <c r="E58" s="823"/>
      <c r="F58" s="821" t="s">
        <v>403</v>
      </c>
      <c r="G58" s="822"/>
      <c r="H58" s="822"/>
      <c r="I58" s="823"/>
      <c r="J58" s="822" t="s">
        <v>402</v>
      </c>
      <c r="K58" s="822"/>
      <c r="L58" s="822"/>
      <c r="M58" s="822"/>
      <c r="N58" s="821" t="s">
        <v>401</v>
      </c>
      <c r="O58" s="822"/>
      <c r="P58" s="822"/>
      <c r="Q58" s="823"/>
    </row>
    <row r="59" spans="1:18" ht="15.75" customHeight="1" thickBot="1" x14ac:dyDescent="0.3">
      <c r="A59" s="820"/>
      <c r="B59" s="824" t="s">
        <v>400</v>
      </c>
      <c r="C59" s="825"/>
      <c r="D59" s="825"/>
      <c r="E59" s="826"/>
      <c r="F59" s="824" t="s">
        <v>399</v>
      </c>
      <c r="G59" s="825"/>
      <c r="H59" s="825"/>
      <c r="I59" s="826"/>
      <c r="J59" s="825" t="s">
        <v>399</v>
      </c>
      <c r="K59" s="825"/>
      <c r="L59" s="825"/>
      <c r="M59" s="825"/>
      <c r="N59" s="824"/>
      <c r="O59" s="825"/>
      <c r="P59" s="825"/>
      <c r="Q59" s="826"/>
    </row>
    <row r="60" spans="1:18" ht="28.5" customHeight="1" thickBot="1" x14ac:dyDescent="0.3">
      <c r="A60" s="472"/>
      <c r="B60" s="827" t="s">
        <v>398</v>
      </c>
      <c r="C60" s="828"/>
      <c r="D60" s="827" t="s">
        <v>397</v>
      </c>
      <c r="E60" s="828"/>
      <c r="F60" s="827" t="s">
        <v>398</v>
      </c>
      <c r="G60" s="828"/>
      <c r="H60" s="827" t="s">
        <v>397</v>
      </c>
      <c r="I60" s="828"/>
      <c r="J60" s="839" t="s">
        <v>398</v>
      </c>
      <c r="K60" s="828"/>
      <c r="L60" s="827" t="s">
        <v>397</v>
      </c>
      <c r="M60" s="839"/>
      <c r="N60" s="827" t="s">
        <v>398</v>
      </c>
      <c r="O60" s="828"/>
      <c r="P60" s="827" t="s">
        <v>397</v>
      </c>
      <c r="Q60" s="828"/>
    </row>
    <row r="61" spans="1:18" ht="57.75" thickBot="1" x14ac:dyDescent="0.3">
      <c r="A61" s="373" t="s">
        <v>396</v>
      </c>
      <c r="B61" s="400" t="s">
        <v>395</v>
      </c>
      <c r="C61" s="400" t="s">
        <v>394</v>
      </c>
      <c r="D61" s="400" t="s">
        <v>395</v>
      </c>
      <c r="E61" s="400" t="s">
        <v>394</v>
      </c>
      <c r="F61" s="399" t="s">
        <v>395</v>
      </c>
      <c r="G61" s="399" t="s">
        <v>394</v>
      </c>
      <c r="H61" s="399" t="s">
        <v>395</v>
      </c>
      <c r="I61" s="399" t="s">
        <v>394</v>
      </c>
      <c r="J61" s="399" t="s">
        <v>395</v>
      </c>
      <c r="K61" s="399" t="s">
        <v>394</v>
      </c>
      <c r="L61" s="399" t="s">
        <v>395</v>
      </c>
      <c r="M61" s="399" t="s">
        <v>394</v>
      </c>
      <c r="N61" s="399" t="s">
        <v>395</v>
      </c>
      <c r="O61" s="399" t="s">
        <v>394</v>
      </c>
      <c r="P61" s="399" t="s">
        <v>395</v>
      </c>
      <c r="Q61" s="399" t="s">
        <v>394</v>
      </c>
    </row>
    <row r="62" spans="1:18" ht="16.5" thickTop="1" thickBot="1" x14ac:dyDescent="0.3">
      <c r="A62" s="383">
        <v>4</v>
      </c>
      <c r="B62" s="396">
        <v>1</v>
      </c>
      <c r="C62" s="394" t="s">
        <v>393</v>
      </c>
      <c r="D62" s="394">
        <v>1</v>
      </c>
      <c r="E62" s="398" t="s">
        <v>393</v>
      </c>
      <c r="F62" s="396">
        <v>1</v>
      </c>
      <c r="G62" s="394">
        <v>2</v>
      </c>
      <c r="H62" s="394">
        <v>1</v>
      </c>
      <c r="I62" s="397">
        <v>2</v>
      </c>
      <c r="J62" s="396">
        <f t="shared" ref="J62:J72" si="15">$A62-F62</f>
        <v>3</v>
      </c>
      <c r="K62" s="395">
        <f t="shared" ref="K62:K72" si="16">$A62-G62</f>
        <v>2</v>
      </c>
      <c r="L62" s="394">
        <f t="shared" ref="L62:L72" si="17">$A62-H62</f>
        <v>3</v>
      </c>
      <c r="M62" s="393">
        <f t="shared" ref="M62:M72" si="18">$A62-I62</f>
        <v>2</v>
      </c>
      <c r="N62" s="392">
        <f t="shared" ref="N62:N72" si="19">J62/$A62</f>
        <v>0.75</v>
      </c>
      <c r="O62" s="391">
        <f t="shared" ref="O62:O72" si="20">K62/$A62</f>
        <v>0.5</v>
      </c>
      <c r="P62" s="390">
        <f t="shared" ref="P62:P72" si="21">L62/$A62</f>
        <v>0.75</v>
      </c>
      <c r="Q62" s="389">
        <f t="shared" ref="Q62:Q72" si="22">M62/$A62</f>
        <v>0.5</v>
      </c>
      <c r="R62" s="353"/>
    </row>
    <row r="63" spans="1:18" ht="15.75" thickBot="1" x14ac:dyDescent="0.3">
      <c r="A63" s="383">
        <v>5</v>
      </c>
      <c r="B63" s="829" t="s">
        <v>392</v>
      </c>
      <c r="C63" s="830"/>
      <c r="D63" s="830"/>
      <c r="E63" s="831"/>
      <c r="F63" s="388">
        <v>2</v>
      </c>
      <c r="G63" s="255">
        <v>2</v>
      </c>
      <c r="H63" s="255">
        <v>2</v>
      </c>
      <c r="I63" s="387">
        <v>2</v>
      </c>
      <c r="J63" s="388">
        <f t="shared" si="15"/>
        <v>3</v>
      </c>
      <c r="K63" s="255">
        <f t="shared" si="16"/>
        <v>3</v>
      </c>
      <c r="L63" s="255">
        <f t="shared" si="17"/>
        <v>3</v>
      </c>
      <c r="M63" s="387">
        <f t="shared" si="18"/>
        <v>3</v>
      </c>
      <c r="N63" s="386">
        <f t="shared" si="19"/>
        <v>0.6</v>
      </c>
      <c r="O63" s="385">
        <f t="shared" si="20"/>
        <v>0.6</v>
      </c>
      <c r="P63" s="385">
        <f t="shared" si="21"/>
        <v>0.6</v>
      </c>
      <c r="Q63" s="384">
        <f t="shared" si="22"/>
        <v>0.6</v>
      </c>
      <c r="R63" s="353"/>
    </row>
    <row r="64" spans="1:18" ht="15.75" thickBot="1" x14ac:dyDescent="0.3">
      <c r="A64" s="383">
        <v>6</v>
      </c>
      <c r="B64" s="829" t="s">
        <v>391</v>
      </c>
      <c r="C64" s="830"/>
      <c r="D64" s="830"/>
      <c r="E64" s="831"/>
      <c r="F64" s="388">
        <v>2</v>
      </c>
      <c r="G64" s="255">
        <v>2</v>
      </c>
      <c r="H64" s="255">
        <v>2</v>
      </c>
      <c r="I64" s="387">
        <v>2</v>
      </c>
      <c r="J64" s="388">
        <f t="shared" si="15"/>
        <v>4</v>
      </c>
      <c r="K64" s="255">
        <f t="shared" si="16"/>
        <v>4</v>
      </c>
      <c r="L64" s="255">
        <f t="shared" si="17"/>
        <v>4</v>
      </c>
      <c r="M64" s="387">
        <f t="shared" si="18"/>
        <v>4</v>
      </c>
      <c r="N64" s="386">
        <f t="shared" si="19"/>
        <v>0.66666666666666663</v>
      </c>
      <c r="O64" s="385">
        <f t="shared" si="20"/>
        <v>0.66666666666666663</v>
      </c>
      <c r="P64" s="385">
        <f t="shared" si="21"/>
        <v>0.66666666666666663</v>
      </c>
      <c r="Q64" s="384">
        <f t="shared" si="22"/>
        <v>0.66666666666666663</v>
      </c>
      <c r="R64" s="353"/>
    </row>
    <row r="65" spans="1:18" ht="15.75" thickBot="1" x14ac:dyDescent="0.3">
      <c r="A65" s="383">
        <v>7</v>
      </c>
      <c r="B65" s="829" t="s">
        <v>391</v>
      </c>
      <c r="C65" s="830"/>
      <c r="D65" s="830"/>
      <c r="E65" s="831"/>
      <c r="F65" s="388">
        <v>2</v>
      </c>
      <c r="G65" s="255">
        <v>2</v>
      </c>
      <c r="H65" s="255">
        <v>2</v>
      </c>
      <c r="I65" s="387">
        <v>2</v>
      </c>
      <c r="J65" s="388">
        <f t="shared" si="15"/>
        <v>5</v>
      </c>
      <c r="K65" s="255">
        <f t="shared" si="16"/>
        <v>5</v>
      </c>
      <c r="L65" s="255">
        <f t="shared" si="17"/>
        <v>5</v>
      </c>
      <c r="M65" s="387">
        <f t="shared" si="18"/>
        <v>5</v>
      </c>
      <c r="N65" s="386">
        <f t="shared" si="19"/>
        <v>0.7142857142857143</v>
      </c>
      <c r="O65" s="385">
        <f t="shared" si="20"/>
        <v>0.7142857142857143</v>
      </c>
      <c r="P65" s="385">
        <f t="shared" si="21"/>
        <v>0.7142857142857143</v>
      </c>
      <c r="Q65" s="384">
        <f t="shared" si="22"/>
        <v>0.7142857142857143</v>
      </c>
      <c r="R65" s="353"/>
    </row>
    <row r="66" spans="1:18" ht="15.75" thickBot="1" x14ac:dyDescent="0.3">
      <c r="A66" s="383">
        <v>8</v>
      </c>
      <c r="B66" s="829" t="s">
        <v>390</v>
      </c>
      <c r="C66" s="830"/>
      <c r="D66" s="830"/>
      <c r="E66" s="831"/>
      <c r="F66" s="388">
        <v>2</v>
      </c>
      <c r="G66" s="255">
        <v>2</v>
      </c>
      <c r="H66" s="255">
        <v>2</v>
      </c>
      <c r="I66" s="387">
        <v>2</v>
      </c>
      <c r="J66" s="388">
        <f t="shared" si="15"/>
        <v>6</v>
      </c>
      <c r="K66" s="255">
        <f t="shared" si="16"/>
        <v>6</v>
      </c>
      <c r="L66" s="255">
        <f t="shared" si="17"/>
        <v>6</v>
      </c>
      <c r="M66" s="387">
        <f t="shared" si="18"/>
        <v>6</v>
      </c>
      <c r="N66" s="386">
        <f t="shared" si="19"/>
        <v>0.75</v>
      </c>
      <c r="O66" s="385">
        <f t="shared" si="20"/>
        <v>0.75</v>
      </c>
      <c r="P66" s="385">
        <f t="shared" si="21"/>
        <v>0.75</v>
      </c>
      <c r="Q66" s="384">
        <f t="shared" si="22"/>
        <v>0.75</v>
      </c>
      <c r="R66" s="353"/>
    </row>
    <row r="67" spans="1:18" ht="15.75" thickBot="1" x14ac:dyDescent="0.3">
      <c r="A67" s="383">
        <v>9</v>
      </c>
      <c r="B67" s="829" t="s">
        <v>389</v>
      </c>
      <c r="C67" s="830"/>
      <c r="D67" s="830"/>
      <c r="E67" s="831"/>
      <c r="F67" s="388">
        <v>2</v>
      </c>
      <c r="G67" s="255">
        <v>2</v>
      </c>
      <c r="H67" s="255">
        <v>2</v>
      </c>
      <c r="I67" s="387">
        <v>2</v>
      </c>
      <c r="J67" s="388">
        <f t="shared" si="15"/>
        <v>7</v>
      </c>
      <c r="K67" s="255">
        <f t="shared" si="16"/>
        <v>7</v>
      </c>
      <c r="L67" s="255">
        <f t="shared" si="17"/>
        <v>7</v>
      </c>
      <c r="M67" s="387">
        <f t="shared" si="18"/>
        <v>7</v>
      </c>
      <c r="N67" s="386">
        <f t="shared" si="19"/>
        <v>0.77777777777777779</v>
      </c>
      <c r="O67" s="385">
        <f t="shared" si="20"/>
        <v>0.77777777777777779</v>
      </c>
      <c r="P67" s="385">
        <f t="shared" si="21"/>
        <v>0.77777777777777779</v>
      </c>
      <c r="Q67" s="384">
        <f t="shared" si="22"/>
        <v>0.77777777777777779</v>
      </c>
      <c r="R67" s="353"/>
    </row>
    <row r="68" spans="1:18" ht="15.75" thickBot="1" x14ac:dyDescent="0.3">
      <c r="A68" s="383">
        <v>10</v>
      </c>
      <c r="B68" s="829" t="s">
        <v>387</v>
      </c>
      <c r="C68" s="830"/>
      <c r="D68" s="830" t="s">
        <v>388</v>
      </c>
      <c r="E68" s="831"/>
      <c r="F68" s="388">
        <v>2</v>
      </c>
      <c r="G68" s="255">
        <v>2</v>
      </c>
      <c r="H68" s="255">
        <v>4</v>
      </c>
      <c r="I68" s="387">
        <v>4</v>
      </c>
      <c r="J68" s="388">
        <f t="shared" si="15"/>
        <v>8</v>
      </c>
      <c r="K68" s="255">
        <f t="shared" si="16"/>
        <v>8</v>
      </c>
      <c r="L68" s="255">
        <f t="shared" si="17"/>
        <v>6</v>
      </c>
      <c r="M68" s="387">
        <f t="shared" si="18"/>
        <v>6</v>
      </c>
      <c r="N68" s="386">
        <f t="shared" si="19"/>
        <v>0.8</v>
      </c>
      <c r="O68" s="385">
        <f t="shared" si="20"/>
        <v>0.8</v>
      </c>
      <c r="P68" s="385">
        <f t="shared" si="21"/>
        <v>0.6</v>
      </c>
      <c r="Q68" s="384">
        <f t="shared" si="22"/>
        <v>0.6</v>
      </c>
      <c r="R68" s="353"/>
    </row>
    <row r="69" spans="1:18" ht="15.75" thickBot="1" x14ac:dyDescent="0.3">
      <c r="A69" s="383">
        <v>11</v>
      </c>
      <c r="B69" s="829" t="s">
        <v>387</v>
      </c>
      <c r="C69" s="830"/>
      <c r="D69" s="830" t="s">
        <v>386</v>
      </c>
      <c r="E69" s="831"/>
      <c r="F69" s="388">
        <v>2</v>
      </c>
      <c r="G69" s="255">
        <v>2</v>
      </c>
      <c r="H69" s="255">
        <v>4</v>
      </c>
      <c r="I69" s="387">
        <v>4</v>
      </c>
      <c r="J69" s="388">
        <f t="shared" si="15"/>
        <v>9</v>
      </c>
      <c r="K69" s="255">
        <f t="shared" si="16"/>
        <v>9</v>
      </c>
      <c r="L69" s="255">
        <f t="shared" si="17"/>
        <v>7</v>
      </c>
      <c r="M69" s="387">
        <f t="shared" si="18"/>
        <v>7</v>
      </c>
      <c r="N69" s="386">
        <f t="shared" si="19"/>
        <v>0.81818181818181823</v>
      </c>
      <c r="O69" s="385">
        <f t="shared" si="20"/>
        <v>0.81818181818181823</v>
      </c>
      <c r="P69" s="385">
        <f t="shared" si="21"/>
        <v>0.63636363636363635</v>
      </c>
      <c r="Q69" s="384">
        <f t="shared" si="22"/>
        <v>0.63636363636363635</v>
      </c>
      <c r="R69" s="353"/>
    </row>
    <row r="70" spans="1:18" ht="15.75" customHeight="1" thickBot="1" x14ac:dyDescent="0.3">
      <c r="A70" s="383">
        <v>12</v>
      </c>
      <c r="B70" s="829" t="s">
        <v>385</v>
      </c>
      <c r="C70" s="830"/>
      <c r="D70" s="830" t="s">
        <v>384</v>
      </c>
      <c r="E70" s="831"/>
      <c r="F70" s="388">
        <v>2</v>
      </c>
      <c r="G70" s="255">
        <v>2</v>
      </c>
      <c r="H70" s="255">
        <v>4</v>
      </c>
      <c r="I70" s="387">
        <v>4</v>
      </c>
      <c r="J70" s="388">
        <f t="shared" si="15"/>
        <v>10</v>
      </c>
      <c r="K70" s="255">
        <f t="shared" si="16"/>
        <v>10</v>
      </c>
      <c r="L70" s="255">
        <f t="shared" si="17"/>
        <v>8</v>
      </c>
      <c r="M70" s="387">
        <f t="shared" si="18"/>
        <v>8</v>
      </c>
      <c r="N70" s="386">
        <f t="shared" si="19"/>
        <v>0.83333333333333337</v>
      </c>
      <c r="O70" s="385">
        <f t="shared" si="20"/>
        <v>0.83333333333333337</v>
      </c>
      <c r="P70" s="385">
        <f t="shared" si="21"/>
        <v>0.66666666666666663</v>
      </c>
      <c r="Q70" s="384">
        <f t="shared" si="22"/>
        <v>0.66666666666666663</v>
      </c>
      <c r="R70" s="353"/>
    </row>
    <row r="71" spans="1:18" ht="15.75" customHeight="1" thickBot="1" x14ac:dyDescent="0.3">
      <c r="A71" s="383">
        <v>13</v>
      </c>
      <c r="B71" s="829" t="s">
        <v>383</v>
      </c>
      <c r="C71" s="830"/>
      <c r="D71" s="830" t="s">
        <v>382</v>
      </c>
      <c r="E71" s="831"/>
      <c r="F71" s="388">
        <v>2</v>
      </c>
      <c r="G71" s="255">
        <v>2</v>
      </c>
      <c r="H71" s="255">
        <v>4</v>
      </c>
      <c r="I71" s="387">
        <v>4</v>
      </c>
      <c r="J71" s="388">
        <f t="shared" si="15"/>
        <v>11</v>
      </c>
      <c r="K71" s="255">
        <f t="shared" si="16"/>
        <v>11</v>
      </c>
      <c r="L71" s="255">
        <f t="shared" si="17"/>
        <v>9</v>
      </c>
      <c r="M71" s="387">
        <f t="shared" si="18"/>
        <v>9</v>
      </c>
      <c r="N71" s="386">
        <f t="shared" si="19"/>
        <v>0.84615384615384615</v>
      </c>
      <c r="O71" s="385">
        <f t="shared" si="20"/>
        <v>0.84615384615384615</v>
      </c>
      <c r="P71" s="385">
        <f t="shared" si="21"/>
        <v>0.69230769230769229</v>
      </c>
      <c r="Q71" s="384">
        <f t="shared" si="22"/>
        <v>0.69230769230769229</v>
      </c>
      <c r="R71" s="353"/>
    </row>
    <row r="72" spans="1:18" ht="15.75" customHeight="1" thickBot="1" x14ac:dyDescent="0.3">
      <c r="A72" s="383">
        <v>14</v>
      </c>
      <c r="B72" s="844" t="s">
        <v>381</v>
      </c>
      <c r="C72" s="845"/>
      <c r="D72" s="845" t="s">
        <v>380</v>
      </c>
      <c r="E72" s="846"/>
      <c r="F72" s="382">
        <v>2</v>
      </c>
      <c r="G72" s="379">
        <v>2</v>
      </c>
      <c r="H72" s="379">
        <v>4</v>
      </c>
      <c r="I72" s="378">
        <v>4</v>
      </c>
      <c r="J72" s="381">
        <f t="shared" si="15"/>
        <v>12</v>
      </c>
      <c r="K72" s="380">
        <f t="shared" si="16"/>
        <v>12</v>
      </c>
      <c r="L72" s="379">
        <f t="shared" si="17"/>
        <v>10</v>
      </c>
      <c r="M72" s="378">
        <f t="shared" si="18"/>
        <v>10</v>
      </c>
      <c r="N72" s="377">
        <f t="shared" si="19"/>
        <v>0.8571428571428571</v>
      </c>
      <c r="O72" s="376">
        <f t="shared" si="20"/>
        <v>0.8571428571428571</v>
      </c>
      <c r="P72" s="375">
        <f t="shared" si="21"/>
        <v>0.7142857142857143</v>
      </c>
      <c r="Q72" s="374">
        <f t="shared" si="22"/>
        <v>0.7142857142857143</v>
      </c>
      <c r="R72" s="353"/>
    </row>
    <row r="73" spans="1:18" x14ac:dyDescent="0.25">
      <c r="A73" s="357" t="s">
        <v>379</v>
      </c>
      <c r="B73" s="130"/>
      <c r="C73" s="130"/>
      <c r="D73" s="130"/>
      <c r="E73" s="356"/>
      <c r="F73" s="373"/>
      <c r="G73" s="130"/>
      <c r="H73" s="130"/>
      <c r="I73" s="372"/>
      <c r="J73" s="371">
        <f t="shared" ref="J73:Q73" si="23">MIN(J$62:J$72)</f>
        <v>3</v>
      </c>
      <c r="K73" s="370">
        <f t="shared" si="23"/>
        <v>2</v>
      </c>
      <c r="L73" s="370">
        <f t="shared" si="23"/>
        <v>3</v>
      </c>
      <c r="M73" s="369">
        <f t="shared" si="23"/>
        <v>2</v>
      </c>
      <c r="N73" s="368">
        <f t="shared" si="23"/>
        <v>0.6</v>
      </c>
      <c r="O73" s="367">
        <f t="shared" si="23"/>
        <v>0.5</v>
      </c>
      <c r="P73" s="367">
        <f t="shared" si="23"/>
        <v>0.6</v>
      </c>
      <c r="Q73" s="366">
        <f t="shared" si="23"/>
        <v>0.5</v>
      </c>
      <c r="R73" s="353"/>
    </row>
    <row r="74" spans="1:18" ht="15.75" thickBot="1" x14ac:dyDescent="0.3">
      <c r="A74" s="355" t="s">
        <v>378</v>
      </c>
      <c r="B74" s="133"/>
      <c r="C74" s="133"/>
      <c r="D74" s="133"/>
      <c r="E74" s="354"/>
      <c r="F74" s="365"/>
      <c r="G74" s="133"/>
      <c r="H74" s="133"/>
      <c r="I74" s="364"/>
      <c r="J74" s="363">
        <f t="shared" ref="J74:Q74" si="24">MAX(J$62:J$72)</f>
        <v>12</v>
      </c>
      <c r="K74" s="362">
        <f t="shared" si="24"/>
        <v>12</v>
      </c>
      <c r="L74" s="362">
        <f t="shared" si="24"/>
        <v>10</v>
      </c>
      <c r="M74" s="361">
        <f t="shared" si="24"/>
        <v>10</v>
      </c>
      <c r="N74" s="360">
        <f t="shared" si="24"/>
        <v>0.8571428571428571</v>
      </c>
      <c r="O74" s="359">
        <f t="shared" si="24"/>
        <v>0.8571428571428571</v>
      </c>
      <c r="P74" s="359">
        <f t="shared" si="24"/>
        <v>0.77777777777777779</v>
      </c>
      <c r="Q74" s="358">
        <f t="shared" si="24"/>
        <v>0.77777777777777779</v>
      </c>
      <c r="R74" s="353"/>
    </row>
    <row r="75" spans="1:18" x14ac:dyDescent="0.25">
      <c r="A75" s="357" t="s">
        <v>379</v>
      </c>
      <c r="B75" s="130"/>
      <c r="C75" s="130"/>
      <c r="D75" s="130"/>
      <c r="E75" s="130"/>
      <c r="F75" s="130"/>
      <c r="G75" s="130"/>
      <c r="H75" s="130"/>
      <c r="I75" s="356"/>
      <c r="J75" s="843">
        <f>MIN(J$73:M$74)</f>
        <v>2</v>
      </c>
      <c r="K75" s="836"/>
      <c r="L75" s="836"/>
      <c r="M75" s="837"/>
      <c r="N75" s="835">
        <f>MIN(N$73:Q$74)</f>
        <v>0.5</v>
      </c>
      <c r="O75" s="836"/>
      <c r="P75" s="836"/>
      <c r="Q75" s="837"/>
      <c r="R75" s="353"/>
    </row>
    <row r="76" spans="1:18" ht="15.75" thickBot="1" x14ac:dyDescent="0.3">
      <c r="A76" s="355" t="s">
        <v>378</v>
      </c>
      <c r="B76" s="133"/>
      <c r="C76" s="133"/>
      <c r="D76" s="133"/>
      <c r="E76" s="133"/>
      <c r="F76" s="133"/>
      <c r="G76" s="133"/>
      <c r="H76" s="133"/>
      <c r="I76" s="354"/>
      <c r="J76" s="832">
        <f>MAX(J$73:M$74)</f>
        <v>12</v>
      </c>
      <c r="K76" s="833"/>
      <c r="L76" s="833"/>
      <c r="M76" s="834"/>
      <c r="N76" s="838">
        <f>MAX(N$73:Q$74)</f>
        <v>0.8571428571428571</v>
      </c>
      <c r="O76" s="833"/>
      <c r="P76" s="833"/>
      <c r="Q76" s="834"/>
      <c r="R76" s="353"/>
    </row>
    <row r="77" spans="1:18" x14ac:dyDescent="0.25">
      <c r="A77" s="351"/>
      <c r="B77" s="352"/>
      <c r="C77" s="352"/>
      <c r="D77" s="352"/>
      <c r="E77" s="352"/>
      <c r="F77" s="352"/>
      <c r="G77" s="352"/>
      <c r="H77" s="352"/>
      <c r="I77" s="352"/>
      <c r="J77" s="352"/>
      <c r="K77" s="352"/>
      <c r="L77" s="351"/>
      <c r="M77" s="351"/>
      <c r="N77" s="351"/>
      <c r="O77" s="351"/>
      <c r="P77" s="351"/>
      <c r="Q77" s="351"/>
    </row>
  </sheetData>
  <mergeCells count="59">
    <mergeCell ref="B33:C33"/>
    <mergeCell ref="A34:A35"/>
    <mergeCell ref="D33:E33"/>
    <mergeCell ref="F33:K33"/>
    <mergeCell ref="J75:M75"/>
    <mergeCell ref="F58:I58"/>
    <mergeCell ref="F59:I59"/>
    <mergeCell ref="B72:C72"/>
    <mergeCell ref="D72:E72"/>
    <mergeCell ref="F60:G60"/>
    <mergeCell ref="H60:I60"/>
    <mergeCell ref="B69:C69"/>
    <mergeCell ref="D69:E69"/>
    <mergeCell ref="B63:E63"/>
    <mergeCell ref="B70:C70"/>
    <mergeCell ref="D70:E70"/>
    <mergeCell ref="J76:M76"/>
    <mergeCell ref="N75:Q75"/>
    <mergeCell ref="N76:Q76"/>
    <mergeCell ref="N58:Q58"/>
    <mergeCell ref="N59:Q59"/>
    <mergeCell ref="N60:O60"/>
    <mergeCell ref="P60:Q60"/>
    <mergeCell ref="J58:M58"/>
    <mergeCell ref="J59:M59"/>
    <mergeCell ref="J60:K60"/>
    <mergeCell ref="L60:M60"/>
    <mergeCell ref="B71:C71"/>
    <mergeCell ref="D71:E71"/>
    <mergeCell ref="B64:E64"/>
    <mergeCell ref="B65:E65"/>
    <mergeCell ref="B66:E66"/>
    <mergeCell ref="B67:E67"/>
    <mergeCell ref="B68:C68"/>
    <mergeCell ref="D68:E68"/>
    <mergeCell ref="A58:A59"/>
    <mergeCell ref="B58:E58"/>
    <mergeCell ref="B59:E59"/>
    <mergeCell ref="B60:C60"/>
    <mergeCell ref="D60:E60"/>
    <mergeCell ref="B3:C3"/>
    <mergeCell ref="D3:E3"/>
    <mergeCell ref="F3:G3"/>
    <mergeCell ref="H3:I3"/>
    <mergeCell ref="J3:K3"/>
    <mergeCell ref="F29:K29"/>
    <mergeCell ref="D29:E29"/>
    <mergeCell ref="B29:C29"/>
    <mergeCell ref="F25:G25"/>
    <mergeCell ref="H4:K4"/>
    <mergeCell ref="B25:C26"/>
    <mergeCell ref="D4:E4"/>
    <mergeCell ref="F4:G4"/>
    <mergeCell ref="B4:C4"/>
    <mergeCell ref="B12:G12"/>
    <mergeCell ref="H12:K12"/>
    <mergeCell ref="A18:K18"/>
    <mergeCell ref="A6:K6"/>
    <mergeCell ref="H25:K25"/>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F203F-EA35-4FEB-B29D-BB61A1C12F00}">
  <dimension ref="A1:H78"/>
  <sheetViews>
    <sheetView workbookViewId="0">
      <selection activeCell="D9" sqref="D9"/>
    </sheetView>
  </sheetViews>
  <sheetFormatPr baseColWidth="10" defaultColWidth="11.5703125" defaultRowHeight="15" x14ac:dyDescent="0.25"/>
  <cols>
    <col min="1" max="1" width="18.5703125" style="14" customWidth="1"/>
    <col min="2" max="3" width="11.5703125" style="14"/>
    <col min="4" max="4" width="12.140625" style="14" bestFit="1" customWidth="1"/>
    <col min="5" max="16384" width="11.5703125" style="14"/>
  </cols>
  <sheetData>
    <row r="1" spans="1:6" ht="18.75" x14ac:dyDescent="0.25">
      <c r="A1" s="13" t="s">
        <v>456</v>
      </c>
    </row>
    <row r="3" spans="1:6" x14ac:dyDescent="0.25">
      <c r="B3" s="143" t="s">
        <v>466</v>
      </c>
    </row>
    <row r="4" spans="1:6" ht="18" x14ac:dyDescent="0.25">
      <c r="A4" s="533" t="s">
        <v>465</v>
      </c>
      <c r="B4" s="534">
        <v>24</v>
      </c>
      <c r="C4" s="535" t="str">
        <f>IF(B4/B5=INT(B4/B5),"ok","ERROR!!!")</f>
        <v>ok</v>
      </c>
      <c r="D4" s="106" t="s">
        <v>593</v>
      </c>
    </row>
    <row r="5" spans="1:6" ht="18" x14ac:dyDescent="0.25">
      <c r="A5" s="536" t="s">
        <v>457</v>
      </c>
      <c r="B5" s="537">
        <f>1*12</f>
        <v>12</v>
      </c>
      <c r="C5" s="535" t="str">
        <f>IF(B5/12=INT(B5/12),"ok","ERROR!!!")</f>
        <v>ok</v>
      </c>
      <c r="D5" s="106" t="s">
        <v>594</v>
      </c>
    </row>
    <row r="6" spans="1:6" ht="16.149999999999999" customHeight="1" x14ac:dyDescent="0.25">
      <c r="A6" s="851" t="s">
        <v>459</v>
      </c>
      <c r="B6" s="853">
        <v>4</v>
      </c>
      <c r="C6" s="535" t="str">
        <f>IF(OR(B6=1,OR(B6=2,B6=4)),"ok","ERROR!!!")</f>
        <v>ok</v>
      </c>
      <c r="D6" s="106" t="s">
        <v>595</v>
      </c>
    </row>
    <row r="7" spans="1:6" x14ac:dyDescent="0.25">
      <c r="A7" s="852"/>
      <c r="B7" s="854"/>
      <c r="C7" s="535" t="str">
        <f>IF(B6*B4/B5&lt;=14,"ok","ERROR!!!")</f>
        <v>ok</v>
      </c>
      <c r="D7" s="106" t="s">
        <v>596</v>
      </c>
    </row>
    <row r="8" spans="1:6" ht="18" x14ac:dyDescent="0.25">
      <c r="A8" s="536" t="s">
        <v>467</v>
      </c>
      <c r="B8" s="559">
        <f>B5/B6</f>
        <v>3</v>
      </c>
      <c r="C8" s="535" t="str">
        <f>IF(B8=INT(B8),"ok","ERROR!!!")</f>
        <v>ok</v>
      </c>
      <c r="D8" s="106" t="s">
        <v>597</v>
      </c>
    </row>
    <row r="10" spans="1:6" x14ac:dyDescent="0.25">
      <c r="B10" s="847" t="s">
        <v>460</v>
      </c>
      <c r="C10" s="847"/>
    </row>
    <row r="11" spans="1:6" ht="18" x14ac:dyDescent="0.25">
      <c r="A11" s="538" t="s">
        <v>70</v>
      </c>
      <c r="B11" s="537">
        <v>0</v>
      </c>
      <c r="C11" s="537">
        <f>B5-1</f>
        <v>11</v>
      </c>
      <c r="D11" s="536" t="s">
        <v>463</v>
      </c>
    </row>
    <row r="12" spans="1:6" ht="55.5" x14ac:dyDescent="0.25">
      <c r="A12" s="533" t="s">
        <v>458</v>
      </c>
      <c r="B12" s="534">
        <v>0</v>
      </c>
      <c r="C12" s="534">
        <f>(B6*B4/B5)-1</f>
        <v>7</v>
      </c>
      <c r="D12" s="541" t="s">
        <v>469</v>
      </c>
    </row>
    <row r="13" spans="1:6" ht="18" x14ac:dyDescent="0.25">
      <c r="A13" s="539" t="s">
        <v>115</v>
      </c>
      <c r="B13" s="540">
        <v>0</v>
      </c>
      <c r="C13" s="540">
        <f>B4-1</f>
        <v>23</v>
      </c>
      <c r="D13" s="536" t="s">
        <v>468</v>
      </c>
    </row>
    <row r="14" spans="1:6" ht="35.450000000000003" customHeight="1" x14ac:dyDescent="0.25">
      <c r="A14" s="539" t="s">
        <v>461</v>
      </c>
      <c r="B14" s="540">
        <v>0</v>
      </c>
      <c r="C14" s="540">
        <f>B6-1</f>
        <v>3</v>
      </c>
      <c r="D14" s="536" t="s">
        <v>464</v>
      </c>
    </row>
    <row r="15" spans="1:6" ht="30" x14ac:dyDescent="0.25">
      <c r="A15" s="539" t="s">
        <v>462</v>
      </c>
      <c r="B15" s="540">
        <v>0</v>
      </c>
      <c r="C15" s="143">
        <f>(C11+1)*(C12+1)-1</f>
        <v>95</v>
      </c>
      <c r="D15" s="541" t="s">
        <v>471</v>
      </c>
      <c r="E15" s="541" t="s">
        <v>472</v>
      </c>
      <c r="F15" s="143">
        <f>(C13+1)*(C14+1)-1</f>
        <v>95</v>
      </c>
    </row>
    <row r="16" spans="1:6" x14ac:dyDescent="0.25">
      <c r="A16" s="542"/>
      <c r="B16" s="543"/>
      <c r="C16" s="543"/>
      <c r="D16" s="544"/>
    </row>
    <row r="17" spans="3:8" ht="15.75" thickBot="1" x14ac:dyDescent="0.3"/>
    <row r="18" spans="3:8" ht="15.75" thickBot="1" x14ac:dyDescent="0.3">
      <c r="C18" s="545" t="s">
        <v>458</v>
      </c>
      <c r="D18" s="546" t="s">
        <v>70</v>
      </c>
      <c r="E18" s="547" t="s">
        <v>115</v>
      </c>
      <c r="F18" s="548" t="s">
        <v>461</v>
      </c>
      <c r="G18" s="549" t="s">
        <v>462</v>
      </c>
    </row>
    <row r="19" spans="3:8" x14ac:dyDescent="0.25">
      <c r="C19" s="556">
        <v>0</v>
      </c>
      <c r="D19" s="557">
        <v>0</v>
      </c>
      <c r="E19" s="558">
        <f t="shared" ref="E19:E42" si="0">C19*$B$8+MOD(D19,$B$8)</f>
        <v>0</v>
      </c>
      <c r="F19" s="130">
        <f t="shared" ref="F19:F42" si="1">ROUNDDOWN(D19/$B$8,0)</f>
        <v>0</v>
      </c>
      <c r="G19" s="372">
        <f>C19*$B$5+D19</f>
        <v>0</v>
      </c>
      <c r="H19" s="848" t="s">
        <v>470</v>
      </c>
    </row>
    <row r="20" spans="3:8" x14ac:dyDescent="0.25">
      <c r="C20" s="550">
        <f>C19</f>
        <v>0</v>
      </c>
      <c r="D20" s="551">
        <v>1</v>
      </c>
      <c r="E20" s="401">
        <f t="shared" si="0"/>
        <v>1</v>
      </c>
      <c r="F20" s="68">
        <f t="shared" si="1"/>
        <v>0</v>
      </c>
      <c r="G20" s="552">
        <f t="shared" ref="G20:G78" si="2">C20*$B$5+D20</f>
        <v>1</v>
      </c>
      <c r="H20" s="849"/>
    </row>
    <row r="21" spans="3:8" x14ac:dyDescent="0.25">
      <c r="C21" s="550">
        <f t="shared" ref="C21:C30" si="3">C20</f>
        <v>0</v>
      </c>
      <c r="D21" s="551">
        <v>2</v>
      </c>
      <c r="E21" s="401">
        <f t="shared" si="0"/>
        <v>2</v>
      </c>
      <c r="F21" s="68">
        <f t="shared" si="1"/>
        <v>0</v>
      </c>
      <c r="G21" s="552">
        <f t="shared" si="2"/>
        <v>2</v>
      </c>
      <c r="H21" s="850"/>
    </row>
    <row r="22" spans="3:8" x14ac:dyDescent="0.25">
      <c r="C22" s="550">
        <f t="shared" si="3"/>
        <v>0</v>
      </c>
      <c r="D22" s="551">
        <v>3</v>
      </c>
      <c r="E22" s="401">
        <f t="shared" si="0"/>
        <v>0</v>
      </c>
      <c r="F22" s="68">
        <f t="shared" si="1"/>
        <v>1</v>
      </c>
      <c r="G22" s="552">
        <f t="shared" si="2"/>
        <v>3</v>
      </c>
    </row>
    <row r="23" spans="3:8" x14ac:dyDescent="0.25">
      <c r="C23" s="550">
        <f t="shared" si="3"/>
        <v>0</v>
      </c>
      <c r="D23" s="551">
        <v>4</v>
      </c>
      <c r="E23" s="401">
        <f t="shared" si="0"/>
        <v>1</v>
      </c>
      <c r="F23" s="68">
        <f t="shared" si="1"/>
        <v>1</v>
      </c>
      <c r="G23" s="552">
        <f t="shared" si="2"/>
        <v>4</v>
      </c>
    </row>
    <row r="24" spans="3:8" x14ac:dyDescent="0.25">
      <c r="C24" s="550">
        <f t="shared" si="3"/>
        <v>0</v>
      </c>
      <c r="D24" s="551">
        <v>5</v>
      </c>
      <c r="E24" s="401">
        <f t="shared" si="0"/>
        <v>2</v>
      </c>
      <c r="F24" s="68">
        <f t="shared" si="1"/>
        <v>1</v>
      </c>
      <c r="G24" s="552">
        <f t="shared" si="2"/>
        <v>5</v>
      </c>
    </row>
    <row r="25" spans="3:8" x14ac:dyDescent="0.25">
      <c r="C25" s="550">
        <f t="shared" si="3"/>
        <v>0</v>
      </c>
      <c r="D25" s="551">
        <v>6</v>
      </c>
      <c r="E25" s="401">
        <f t="shared" si="0"/>
        <v>0</v>
      </c>
      <c r="F25" s="68">
        <f t="shared" si="1"/>
        <v>2</v>
      </c>
      <c r="G25" s="552">
        <f t="shared" si="2"/>
        <v>6</v>
      </c>
    </row>
    <row r="26" spans="3:8" x14ac:dyDescent="0.25">
      <c r="C26" s="550">
        <f t="shared" si="3"/>
        <v>0</v>
      </c>
      <c r="D26" s="551">
        <v>7</v>
      </c>
      <c r="E26" s="401">
        <f t="shared" si="0"/>
        <v>1</v>
      </c>
      <c r="F26" s="68">
        <f t="shared" si="1"/>
        <v>2</v>
      </c>
      <c r="G26" s="552">
        <f t="shared" si="2"/>
        <v>7</v>
      </c>
    </row>
    <row r="27" spans="3:8" x14ac:dyDescent="0.25">
      <c r="C27" s="550">
        <f t="shared" si="3"/>
        <v>0</v>
      </c>
      <c r="D27" s="551">
        <v>8</v>
      </c>
      <c r="E27" s="401">
        <f t="shared" si="0"/>
        <v>2</v>
      </c>
      <c r="F27" s="68">
        <f t="shared" si="1"/>
        <v>2</v>
      </c>
      <c r="G27" s="552">
        <f t="shared" si="2"/>
        <v>8</v>
      </c>
    </row>
    <row r="28" spans="3:8" x14ac:dyDescent="0.25">
      <c r="C28" s="550">
        <f t="shared" si="3"/>
        <v>0</v>
      </c>
      <c r="D28" s="551">
        <v>9</v>
      </c>
      <c r="E28" s="401">
        <f t="shared" si="0"/>
        <v>0</v>
      </c>
      <c r="F28" s="68">
        <f t="shared" si="1"/>
        <v>3</v>
      </c>
      <c r="G28" s="552">
        <f t="shared" si="2"/>
        <v>9</v>
      </c>
    </row>
    <row r="29" spans="3:8" x14ac:dyDescent="0.25">
      <c r="C29" s="550">
        <f t="shared" si="3"/>
        <v>0</v>
      </c>
      <c r="D29" s="551">
        <v>10</v>
      </c>
      <c r="E29" s="401">
        <f t="shared" si="0"/>
        <v>1</v>
      </c>
      <c r="F29" s="68">
        <f t="shared" si="1"/>
        <v>3</v>
      </c>
      <c r="G29" s="552">
        <f t="shared" si="2"/>
        <v>10</v>
      </c>
    </row>
    <row r="30" spans="3:8" ht="15.75" thickBot="1" x14ac:dyDescent="0.3">
      <c r="C30" s="553">
        <f t="shared" si="3"/>
        <v>0</v>
      </c>
      <c r="D30" s="554">
        <v>11</v>
      </c>
      <c r="E30" s="555">
        <f t="shared" si="0"/>
        <v>2</v>
      </c>
      <c r="F30" s="133">
        <f t="shared" si="1"/>
        <v>3</v>
      </c>
      <c r="G30" s="364">
        <f t="shared" si="2"/>
        <v>11</v>
      </c>
    </row>
    <row r="31" spans="3:8" x14ac:dyDescent="0.25">
      <c r="C31" s="556">
        <v>1</v>
      </c>
      <c r="D31" s="557">
        <v>0</v>
      </c>
      <c r="E31" s="558">
        <f t="shared" si="0"/>
        <v>3</v>
      </c>
      <c r="F31" s="130">
        <f t="shared" si="1"/>
        <v>0</v>
      </c>
      <c r="G31" s="372">
        <f t="shared" si="2"/>
        <v>12</v>
      </c>
    </row>
    <row r="32" spans="3:8" x14ac:dyDescent="0.25">
      <c r="C32" s="550">
        <f>C31</f>
        <v>1</v>
      </c>
      <c r="D32" s="551">
        <v>1</v>
      </c>
      <c r="E32" s="401">
        <f t="shared" si="0"/>
        <v>4</v>
      </c>
      <c r="F32" s="68">
        <f t="shared" si="1"/>
        <v>0</v>
      </c>
      <c r="G32" s="552">
        <f t="shared" si="2"/>
        <v>13</v>
      </c>
    </row>
    <row r="33" spans="3:7" x14ac:dyDescent="0.25">
      <c r="C33" s="550">
        <f t="shared" ref="C33:C42" si="4">C32</f>
        <v>1</v>
      </c>
      <c r="D33" s="551">
        <v>2</v>
      </c>
      <c r="E33" s="401">
        <f t="shared" si="0"/>
        <v>5</v>
      </c>
      <c r="F33" s="68">
        <f t="shared" si="1"/>
        <v>0</v>
      </c>
      <c r="G33" s="552">
        <f t="shared" si="2"/>
        <v>14</v>
      </c>
    </row>
    <row r="34" spans="3:7" x14ac:dyDescent="0.25">
      <c r="C34" s="550">
        <f t="shared" si="4"/>
        <v>1</v>
      </c>
      <c r="D34" s="551">
        <v>3</v>
      </c>
      <c r="E34" s="401">
        <f t="shared" si="0"/>
        <v>3</v>
      </c>
      <c r="F34" s="68">
        <f t="shared" si="1"/>
        <v>1</v>
      </c>
      <c r="G34" s="552">
        <f t="shared" si="2"/>
        <v>15</v>
      </c>
    </row>
    <row r="35" spans="3:7" x14ac:dyDescent="0.25">
      <c r="C35" s="550">
        <f t="shared" si="4"/>
        <v>1</v>
      </c>
      <c r="D35" s="551">
        <v>4</v>
      </c>
      <c r="E35" s="401">
        <f t="shared" si="0"/>
        <v>4</v>
      </c>
      <c r="F35" s="68">
        <f t="shared" si="1"/>
        <v>1</v>
      </c>
      <c r="G35" s="552">
        <f t="shared" si="2"/>
        <v>16</v>
      </c>
    </row>
    <row r="36" spans="3:7" x14ac:dyDescent="0.25">
      <c r="C36" s="550">
        <f t="shared" si="4"/>
        <v>1</v>
      </c>
      <c r="D36" s="551">
        <v>5</v>
      </c>
      <c r="E36" s="401">
        <f t="shared" si="0"/>
        <v>5</v>
      </c>
      <c r="F36" s="68">
        <f t="shared" si="1"/>
        <v>1</v>
      </c>
      <c r="G36" s="552">
        <f t="shared" si="2"/>
        <v>17</v>
      </c>
    </row>
    <row r="37" spans="3:7" x14ac:dyDescent="0.25">
      <c r="C37" s="550">
        <f t="shared" si="4"/>
        <v>1</v>
      </c>
      <c r="D37" s="551">
        <v>6</v>
      </c>
      <c r="E37" s="401">
        <f t="shared" si="0"/>
        <v>3</v>
      </c>
      <c r="F37" s="68">
        <f t="shared" si="1"/>
        <v>2</v>
      </c>
      <c r="G37" s="552">
        <f t="shared" si="2"/>
        <v>18</v>
      </c>
    </row>
    <row r="38" spans="3:7" x14ac:dyDescent="0.25">
      <c r="C38" s="550">
        <f t="shared" si="4"/>
        <v>1</v>
      </c>
      <c r="D38" s="551">
        <v>7</v>
      </c>
      <c r="E38" s="401">
        <f t="shared" si="0"/>
        <v>4</v>
      </c>
      <c r="F38" s="68">
        <f t="shared" si="1"/>
        <v>2</v>
      </c>
      <c r="G38" s="552">
        <f t="shared" si="2"/>
        <v>19</v>
      </c>
    </row>
    <row r="39" spans="3:7" x14ac:dyDescent="0.25">
      <c r="C39" s="550">
        <f t="shared" si="4"/>
        <v>1</v>
      </c>
      <c r="D39" s="551">
        <v>8</v>
      </c>
      <c r="E39" s="401">
        <f t="shared" si="0"/>
        <v>5</v>
      </c>
      <c r="F39" s="68">
        <f t="shared" si="1"/>
        <v>2</v>
      </c>
      <c r="G39" s="552">
        <f t="shared" si="2"/>
        <v>20</v>
      </c>
    </row>
    <row r="40" spans="3:7" x14ac:dyDescent="0.25">
      <c r="C40" s="550">
        <f t="shared" si="4"/>
        <v>1</v>
      </c>
      <c r="D40" s="551">
        <v>9</v>
      </c>
      <c r="E40" s="401">
        <f t="shared" si="0"/>
        <v>3</v>
      </c>
      <c r="F40" s="68">
        <f t="shared" si="1"/>
        <v>3</v>
      </c>
      <c r="G40" s="552">
        <f t="shared" si="2"/>
        <v>21</v>
      </c>
    </row>
    <row r="41" spans="3:7" x14ac:dyDescent="0.25">
      <c r="C41" s="550">
        <f t="shared" si="4"/>
        <v>1</v>
      </c>
      <c r="D41" s="551">
        <v>10</v>
      </c>
      <c r="E41" s="401">
        <f t="shared" si="0"/>
        <v>4</v>
      </c>
      <c r="F41" s="68">
        <f t="shared" si="1"/>
        <v>3</v>
      </c>
      <c r="G41" s="552">
        <f t="shared" si="2"/>
        <v>22</v>
      </c>
    </row>
    <row r="42" spans="3:7" ht="15.75" thickBot="1" x14ac:dyDescent="0.3">
      <c r="C42" s="553">
        <f t="shared" si="4"/>
        <v>1</v>
      </c>
      <c r="D42" s="554">
        <v>11</v>
      </c>
      <c r="E42" s="555">
        <f t="shared" si="0"/>
        <v>5</v>
      </c>
      <c r="F42" s="133">
        <f t="shared" si="1"/>
        <v>3</v>
      </c>
      <c r="G42" s="364">
        <f t="shared" si="2"/>
        <v>23</v>
      </c>
    </row>
    <row r="43" spans="3:7" x14ac:dyDescent="0.25">
      <c r="C43" s="556">
        <v>2</v>
      </c>
      <c r="D43" s="557">
        <v>0</v>
      </c>
      <c r="E43" s="558">
        <f t="shared" ref="E43:E78" si="5">C43*$B$8+MOD(D43,$B$8)</f>
        <v>6</v>
      </c>
      <c r="F43" s="130">
        <f t="shared" ref="F43:F78" si="6">ROUNDDOWN(D43/$B$8,0)</f>
        <v>0</v>
      </c>
      <c r="G43" s="372">
        <f t="shared" si="2"/>
        <v>24</v>
      </c>
    </row>
    <row r="44" spans="3:7" x14ac:dyDescent="0.25">
      <c r="C44" s="550">
        <f>C43</f>
        <v>2</v>
      </c>
      <c r="D44" s="551">
        <v>1</v>
      </c>
      <c r="E44" s="401">
        <f t="shared" si="5"/>
        <v>7</v>
      </c>
      <c r="F44" s="68">
        <f t="shared" si="6"/>
        <v>0</v>
      </c>
      <c r="G44" s="552">
        <f t="shared" si="2"/>
        <v>25</v>
      </c>
    </row>
    <row r="45" spans="3:7" x14ac:dyDescent="0.25">
      <c r="C45" s="550">
        <f t="shared" ref="C45:C54" si="7">C44</f>
        <v>2</v>
      </c>
      <c r="D45" s="551">
        <v>2</v>
      </c>
      <c r="E45" s="401">
        <f t="shared" si="5"/>
        <v>8</v>
      </c>
      <c r="F45" s="68">
        <f t="shared" si="6"/>
        <v>0</v>
      </c>
      <c r="G45" s="552">
        <f t="shared" si="2"/>
        <v>26</v>
      </c>
    </row>
    <row r="46" spans="3:7" x14ac:dyDescent="0.25">
      <c r="C46" s="550">
        <f t="shared" si="7"/>
        <v>2</v>
      </c>
      <c r="D46" s="551">
        <v>3</v>
      </c>
      <c r="E46" s="401">
        <f t="shared" si="5"/>
        <v>6</v>
      </c>
      <c r="F46" s="68">
        <f t="shared" si="6"/>
        <v>1</v>
      </c>
      <c r="G46" s="552">
        <f t="shared" si="2"/>
        <v>27</v>
      </c>
    </row>
    <row r="47" spans="3:7" x14ac:dyDescent="0.25">
      <c r="C47" s="550">
        <f t="shared" si="7"/>
        <v>2</v>
      </c>
      <c r="D47" s="551">
        <v>4</v>
      </c>
      <c r="E47" s="401">
        <f t="shared" si="5"/>
        <v>7</v>
      </c>
      <c r="F47" s="68">
        <f t="shared" si="6"/>
        <v>1</v>
      </c>
      <c r="G47" s="552">
        <f t="shared" si="2"/>
        <v>28</v>
      </c>
    </row>
    <row r="48" spans="3:7" x14ac:dyDescent="0.25">
      <c r="C48" s="550">
        <f t="shared" si="7"/>
        <v>2</v>
      </c>
      <c r="D48" s="551">
        <v>5</v>
      </c>
      <c r="E48" s="401">
        <f t="shared" si="5"/>
        <v>8</v>
      </c>
      <c r="F48" s="68">
        <f t="shared" si="6"/>
        <v>1</v>
      </c>
      <c r="G48" s="552">
        <f t="shared" si="2"/>
        <v>29</v>
      </c>
    </row>
    <row r="49" spans="3:7" x14ac:dyDescent="0.25">
      <c r="C49" s="550">
        <f t="shared" si="7"/>
        <v>2</v>
      </c>
      <c r="D49" s="551">
        <v>6</v>
      </c>
      <c r="E49" s="401">
        <f t="shared" si="5"/>
        <v>6</v>
      </c>
      <c r="F49" s="68">
        <f t="shared" si="6"/>
        <v>2</v>
      </c>
      <c r="G49" s="552">
        <f t="shared" si="2"/>
        <v>30</v>
      </c>
    </row>
    <row r="50" spans="3:7" x14ac:dyDescent="0.25">
      <c r="C50" s="550">
        <f t="shared" si="7"/>
        <v>2</v>
      </c>
      <c r="D50" s="551">
        <v>7</v>
      </c>
      <c r="E50" s="401">
        <f t="shared" si="5"/>
        <v>7</v>
      </c>
      <c r="F50" s="68">
        <f t="shared" si="6"/>
        <v>2</v>
      </c>
      <c r="G50" s="552">
        <f t="shared" si="2"/>
        <v>31</v>
      </c>
    </row>
    <row r="51" spans="3:7" x14ac:dyDescent="0.25">
      <c r="C51" s="550">
        <f t="shared" si="7"/>
        <v>2</v>
      </c>
      <c r="D51" s="551">
        <v>8</v>
      </c>
      <c r="E51" s="401">
        <f t="shared" si="5"/>
        <v>8</v>
      </c>
      <c r="F51" s="68">
        <f t="shared" si="6"/>
        <v>2</v>
      </c>
      <c r="G51" s="552">
        <f t="shared" si="2"/>
        <v>32</v>
      </c>
    </row>
    <row r="52" spans="3:7" x14ac:dyDescent="0.25">
      <c r="C52" s="550">
        <f t="shared" si="7"/>
        <v>2</v>
      </c>
      <c r="D52" s="551">
        <v>9</v>
      </c>
      <c r="E52" s="401">
        <f t="shared" si="5"/>
        <v>6</v>
      </c>
      <c r="F52" s="68">
        <f t="shared" si="6"/>
        <v>3</v>
      </c>
      <c r="G52" s="552">
        <f t="shared" si="2"/>
        <v>33</v>
      </c>
    </row>
    <row r="53" spans="3:7" x14ac:dyDescent="0.25">
      <c r="C53" s="550">
        <f t="shared" si="7"/>
        <v>2</v>
      </c>
      <c r="D53" s="551">
        <v>10</v>
      </c>
      <c r="E53" s="401">
        <f t="shared" si="5"/>
        <v>7</v>
      </c>
      <c r="F53" s="68">
        <f t="shared" si="6"/>
        <v>3</v>
      </c>
      <c r="G53" s="552">
        <f t="shared" si="2"/>
        <v>34</v>
      </c>
    </row>
    <row r="54" spans="3:7" ht="15.75" thickBot="1" x14ac:dyDescent="0.3">
      <c r="C54" s="553">
        <f t="shared" si="7"/>
        <v>2</v>
      </c>
      <c r="D54" s="554">
        <v>11</v>
      </c>
      <c r="E54" s="555">
        <f t="shared" si="5"/>
        <v>8</v>
      </c>
      <c r="F54" s="133">
        <f t="shared" si="6"/>
        <v>3</v>
      </c>
      <c r="G54" s="364">
        <f t="shared" si="2"/>
        <v>35</v>
      </c>
    </row>
    <row r="55" spans="3:7" x14ac:dyDescent="0.25">
      <c r="C55" s="556">
        <v>6</v>
      </c>
      <c r="D55" s="557">
        <v>0</v>
      </c>
      <c r="E55" s="558">
        <f t="shared" si="5"/>
        <v>18</v>
      </c>
      <c r="F55" s="130">
        <f t="shared" si="6"/>
        <v>0</v>
      </c>
      <c r="G55" s="372">
        <f t="shared" si="2"/>
        <v>72</v>
      </c>
    </row>
    <row r="56" spans="3:7" x14ac:dyDescent="0.25">
      <c r="C56" s="550">
        <f>C55</f>
        <v>6</v>
      </c>
      <c r="D56" s="551">
        <v>1</v>
      </c>
      <c r="E56" s="401">
        <f t="shared" si="5"/>
        <v>19</v>
      </c>
      <c r="F56" s="68">
        <f t="shared" si="6"/>
        <v>0</v>
      </c>
      <c r="G56" s="552">
        <f t="shared" si="2"/>
        <v>73</v>
      </c>
    </row>
    <row r="57" spans="3:7" x14ac:dyDescent="0.25">
      <c r="C57" s="550">
        <f t="shared" ref="C57:C66" si="8">C56</f>
        <v>6</v>
      </c>
      <c r="D57" s="551">
        <v>2</v>
      </c>
      <c r="E57" s="401">
        <f t="shared" si="5"/>
        <v>20</v>
      </c>
      <c r="F57" s="68">
        <f t="shared" si="6"/>
        <v>0</v>
      </c>
      <c r="G57" s="552">
        <f t="shared" si="2"/>
        <v>74</v>
      </c>
    </row>
    <row r="58" spans="3:7" x14ac:dyDescent="0.25">
      <c r="C58" s="550">
        <f t="shared" si="8"/>
        <v>6</v>
      </c>
      <c r="D58" s="551">
        <v>3</v>
      </c>
      <c r="E58" s="401">
        <f t="shared" si="5"/>
        <v>18</v>
      </c>
      <c r="F58" s="68">
        <f t="shared" si="6"/>
        <v>1</v>
      </c>
      <c r="G58" s="552">
        <f t="shared" si="2"/>
        <v>75</v>
      </c>
    </row>
    <row r="59" spans="3:7" x14ac:dyDescent="0.25">
      <c r="C59" s="550">
        <f t="shared" si="8"/>
        <v>6</v>
      </c>
      <c r="D59" s="551">
        <v>4</v>
      </c>
      <c r="E59" s="401">
        <f t="shared" si="5"/>
        <v>19</v>
      </c>
      <c r="F59" s="68">
        <f t="shared" si="6"/>
        <v>1</v>
      </c>
      <c r="G59" s="552">
        <f t="shared" si="2"/>
        <v>76</v>
      </c>
    </row>
    <row r="60" spans="3:7" x14ac:dyDescent="0.25">
      <c r="C60" s="550">
        <f t="shared" si="8"/>
        <v>6</v>
      </c>
      <c r="D60" s="551">
        <v>5</v>
      </c>
      <c r="E60" s="401">
        <f t="shared" si="5"/>
        <v>20</v>
      </c>
      <c r="F60" s="68">
        <f t="shared" si="6"/>
        <v>1</v>
      </c>
      <c r="G60" s="552">
        <f t="shared" si="2"/>
        <v>77</v>
      </c>
    </row>
    <row r="61" spans="3:7" x14ac:dyDescent="0.25">
      <c r="C61" s="550">
        <f t="shared" si="8"/>
        <v>6</v>
      </c>
      <c r="D61" s="551">
        <v>6</v>
      </c>
      <c r="E61" s="401">
        <f t="shared" si="5"/>
        <v>18</v>
      </c>
      <c r="F61" s="68">
        <f t="shared" si="6"/>
        <v>2</v>
      </c>
      <c r="G61" s="552">
        <f t="shared" si="2"/>
        <v>78</v>
      </c>
    </row>
    <row r="62" spans="3:7" x14ac:dyDescent="0.25">
      <c r="C62" s="550">
        <f t="shared" si="8"/>
        <v>6</v>
      </c>
      <c r="D62" s="551">
        <v>7</v>
      </c>
      <c r="E62" s="401">
        <f t="shared" si="5"/>
        <v>19</v>
      </c>
      <c r="F62" s="68">
        <f t="shared" si="6"/>
        <v>2</v>
      </c>
      <c r="G62" s="552">
        <f t="shared" si="2"/>
        <v>79</v>
      </c>
    </row>
    <row r="63" spans="3:7" x14ac:dyDescent="0.25">
      <c r="C63" s="550">
        <f t="shared" si="8"/>
        <v>6</v>
      </c>
      <c r="D63" s="551">
        <v>8</v>
      </c>
      <c r="E63" s="401">
        <f t="shared" si="5"/>
        <v>20</v>
      </c>
      <c r="F63" s="68">
        <f t="shared" si="6"/>
        <v>2</v>
      </c>
      <c r="G63" s="552">
        <f t="shared" si="2"/>
        <v>80</v>
      </c>
    </row>
    <row r="64" spans="3:7" x14ac:dyDescent="0.25">
      <c r="C64" s="550">
        <f t="shared" si="8"/>
        <v>6</v>
      </c>
      <c r="D64" s="551">
        <v>9</v>
      </c>
      <c r="E64" s="401">
        <f t="shared" si="5"/>
        <v>18</v>
      </c>
      <c r="F64" s="68">
        <f t="shared" si="6"/>
        <v>3</v>
      </c>
      <c r="G64" s="552">
        <f t="shared" si="2"/>
        <v>81</v>
      </c>
    </row>
    <row r="65" spans="3:7" x14ac:dyDescent="0.25">
      <c r="C65" s="550">
        <f t="shared" si="8"/>
        <v>6</v>
      </c>
      <c r="D65" s="551">
        <v>10</v>
      </c>
      <c r="E65" s="401">
        <f t="shared" si="5"/>
        <v>19</v>
      </c>
      <c r="F65" s="68">
        <f t="shared" si="6"/>
        <v>3</v>
      </c>
      <c r="G65" s="552">
        <f t="shared" si="2"/>
        <v>82</v>
      </c>
    </row>
    <row r="66" spans="3:7" ht="15.75" thickBot="1" x14ac:dyDescent="0.3">
      <c r="C66" s="553">
        <f t="shared" si="8"/>
        <v>6</v>
      </c>
      <c r="D66" s="554">
        <v>11</v>
      </c>
      <c r="E66" s="555">
        <f t="shared" si="5"/>
        <v>20</v>
      </c>
      <c r="F66" s="133">
        <f t="shared" si="6"/>
        <v>3</v>
      </c>
      <c r="G66" s="364">
        <f t="shared" si="2"/>
        <v>83</v>
      </c>
    </row>
    <row r="67" spans="3:7" x14ac:dyDescent="0.25">
      <c r="C67" s="556">
        <v>7</v>
      </c>
      <c r="D67" s="557">
        <v>0</v>
      </c>
      <c r="E67" s="558">
        <f t="shared" si="5"/>
        <v>21</v>
      </c>
      <c r="F67" s="130">
        <f t="shared" si="6"/>
        <v>0</v>
      </c>
      <c r="G67" s="372">
        <f t="shared" si="2"/>
        <v>84</v>
      </c>
    </row>
    <row r="68" spans="3:7" x14ac:dyDescent="0.25">
      <c r="C68" s="550">
        <f>C67</f>
        <v>7</v>
      </c>
      <c r="D68" s="551">
        <v>1</v>
      </c>
      <c r="E68" s="401">
        <f t="shared" si="5"/>
        <v>22</v>
      </c>
      <c r="F68" s="68">
        <f t="shared" si="6"/>
        <v>0</v>
      </c>
      <c r="G68" s="552">
        <f t="shared" si="2"/>
        <v>85</v>
      </c>
    </row>
    <row r="69" spans="3:7" x14ac:dyDescent="0.25">
      <c r="C69" s="550">
        <f t="shared" ref="C69:C78" si="9">C68</f>
        <v>7</v>
      </c>
      <c r="D69" s="551">
        <v>2</v>
      </c>
      <c r="E69" s="401">
        <f t="shared" si="5"/>
        <v>23</v>
      </c>
      <c r="F69" s="68">
        <f t="shared" si="6"/>
        <v>0</v>
      </c>
      <c r="G69" s="552">
        <f t="shared" si="2"/>
        <v>86</v>
      </c>
    </row>
    <row r="70" spans="3:7" x14ac:dyDescent="0.25">
      <c r="C70" s="550">
        <f t="shared" si="9"/>
        <v>7</v>
      </c>
      <c r="D70" s="551">
        <v>3</v>
      </c>
      <c r="E70" s="401">
        <f t="shared" si="5"/>
        <v>21</v>
      </c>
      <c r="F70" s="68">
        <f t="shared" si="6"/>
        <v>1</v>
      </c>
      <c r="G70" s="552">
        <f t="shared" si="2"/>
        <v>87</v>
      </c>
    </row>
    <row r="71" spans="3:7" x14ac:dyDescent="0.25">
      <c r="C71" s="550">
        <f t="shared" si="9"/>
        <v>7</v>
      </c>
      <c r="D71" s="551">
        <v>4</v>
      </c>
      <c r="E71" s="401">
        <f t="shared" si="5"/>
        <v>22</v>
      </c>
      <c r="F71" s="68">
        <f t="shared" si="6"/>
        <v>1</v>
      </c>
      <c r="G71" s="552">
        <f t="shared" si="2"/>
        <v>88</v>
      </c>
    </row>
    <row r="72" spans="3:7" x14ac:dyDescent="0.25">
      <c r="C72" s="550">
        <f t="shared" si="9"/>
        <v>7</v>
      </c>
      <c r="D72" s="551">
        <v>5</v>
      </c>
      <c r="E72" s="401">
        <f t="shared" si="5"/>
        <v>23</v>
      </c>
      <c r="F72" s="68">
        <f t="shared" si="6"/>
        <v>1</v>
      </c>
      <c r="G72" s="552">
        <f t="shared" si="2"/>
        <v>89</v>
      </c>
    </row>
    <row r="73" spans="3:7" x14ac:dyDescent="0.25">
      <c r="C73" s="550">
        <f t="shared" si="9"/>
        <v>7</v>
      </c>
      <c r="D73" s="551">
        <v>6</v>
      </c>
      <c r="E73" s="401">
        <f t="shared" si="5"/>
        <v>21</v>
      </c>
      <c r="F73" s="68">
        <f t="shared" si="6"/>
        <v>2</v>
      </c>
      <c r="G73" s="552">
        <f t="shared" si="2"/>
        <v>90</v>
      </c>
    </row>
    <row r="74" spans="3:7" x14ac:dyDescent="0.25">
      <c r="C74" s="550">
        <f t="shared" si="9"/>
        <v>7</v>
      </c>
      <c r="D74" s="551">
        <v>7</v>
      </c>
      <c r="E74" s="401">
        <f t="shared" si="5"/>
        <v>22</v>
      </c>
      <c r="F74" s="68">
        <f t="shared" si="6"/>
        <v>2</v>
      </c>
      <c r="G74" s="552">
        <f t="shared" si="2"/>
        <v>91</v>
      </c>
    </row>
    <row r="75" spans="3:7" x14ac:dyDescent="0.25">
      <c r="C75" s="550">
        <f t="shared" si="9"/>
        <v>7</v>
      </c>
      <c r="D75" s="551">
        <v>8</v>
      </c>
      <c r="E75" s="401">
        <f t="shared" si="5"/>
        <v>23</v>
      </c>
      <c r="F75" s="68">
        <f t="shared" si="6"/>
        <v>2</v>
      </c>
      <c r="G75" s="552">
        <f t="shared" si="2"/>
        <v>92</v>
      </c>
    </row>
    <row r="76" spans="3:7" x14ac:dyDescent="0.25">
      <c r="C76" s="550">
        <f t="shared" si="9"/>
        <v>7</v>
      </c>
      <c r="D76" s="551">
        <v>9</v>
      </c>
      <c r="E76" s="401">
        <f t="shared" si="5"/>
        <v>21</v>
      </c>
      <c r="F76" s="68">
        <f t="shared" si="6"/>
        <v>3</v>
      </c>
      <c r="G76" s="552">
        <f t="shared" si="2"/>
        <v>93</v>
      </c>
    </row>
    <row r="77" spans="3:7" x14ac:dyDescent="0.25">
      <c r="C77" s="550">
        <f t="shared" si="9"/>
        <v>7</v>
      </c>
      <c r="D77" s="551">
        <v>10</v>
      </c>
      <c r="E77" s="401">
        <f t="shared" si="5"/>
        <v>22</v>
      </c>
      <c r="F77" s="68">
        <f t="shared" si="6"/>
        <v>3</v>
      </c>
      <c r="G77" s="552">
        <f t="shared" si="2"/>
        <v>94</v>
      </c>
    </row>
    <row r="78" spans="3:7" ht="15.75" thickBot="1" x14ac:dyDescent="0.3">
      <c r="C78" s="553">
        <f t="shared" si="9"/>
        <v>7</v>
      </c>
      <c r="D78" s="554">
        <v>11</v>
      </c>
      <c r="E78" s="555">
        <f t="shared" si="5"/>
        <v>23</v>
      </c>
      <c r="F78" s="133">
        <f t="shared" si="6"/>
        <v>3</v>
      </c>
      <c r="G78" s="364">
        <f t="shared" si="2"/>
        <v>95</v>
      </c>
    </row>
  </sheetData>
  <mergeCells count="4">
    <mergeCell ref="B10:C10"/>
    <mergeCell ref="H19:H21"/>
    <mergeCell ref="A6:A7"/>
    <mergeCell ref="B6:B7"/>
  </mergeCells>
  <phoneticPr fontId="9"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71073-6129-456D-B1A2-4217067002C3}">
  <dimension ref="A1:AF101"/>
  <sheetViews>
    <sheetView workbookViewId="0">
      <pane xSplit="3" topLeftCell="P1" activePane="topRight" state="frozenSplit"/>
      <selection activeCell="A33" sqref="A33"/>
      <selection pane="topRight" activeCell="S12" sqref="S12"/>
    </sheetView>
  </sheetViews>
  <sheetFormatPr baseColWidth="10" defaultColWidth="11.42578125" defaultRowHeight="15" x14ac:dyDescent="0.25"/>
  <cols>
    <col min="1" max="1" width="6.42578125" style="14" customWidth="1"/>
    <col min="2" max="2" width="11.42578125" style="14"/>
    <col min="3" max="3" width="11.28515625" style="14" customWidth="1"/>
    <col min="4" max="4" width="13.85546875" style="14" customWidth="1"/>
    <col min="5" max="5" width="11.42578125" style="14"/>
    <col min="6" max="6" width="12.85546875" style="14" customWidth="1"/>
    <col min="7" max="8" width="11.42578125" style="14"/>
    <col min="9" max="9" width="12" style="14" bestFit="1" customWidth="1"/>
    <col min="10" max="17" width="11.42578125" style="14"/>
    <col min="18" max="18" width="5.140625" style="14" customWidth="1"/>
    <col min="19" max="19" width="13" style="14" customWidth="1"/>
    <col min="20" max="16384" width="11.42578125" style="14"/>
  </cols>
  <sheetData>
    <row r="1" spans="1:32" ht="18.75" x14ac:dyDescent="0.25">
      <c r="A1" s="13" t="s">
        <v>281</v>
      </c>
      <c r="C1" s="42"/>
    </row>
    <row r="2" spans="1:32" ht="18.75" x14ac:dyDescent="0.25">
      <c r="A2" s="13"/>
      <c r="C2" s="42"/>
    </row>
    <row r="3" spans="1:32" ht="45" x14ac:dyDescent="0.25">
      <c r="A3" s="63" t="s">
        <v>77</v>
      </c>
      <c r="B3" s="56" t="s">
        <v>71</v>
      </c>
      <c r="C3" s="56" t="s">
        <v>58</v>
      </c>
      <c r="D3" s="56" t="s">
        <v>105</v>
      </c>
      <c r="E3" s="56" t="s">
        <v>104</v>
      </c>
      <c r="F3" s="56" t="s">
        <v>106</v>
      </c>
      <c r="G3" s="56" t="s">
        <v>107</v>
      </c>
    </row>
    <row r="4" spans="1:32" x14ac:dyDescent="0.25">
      <c r="A4" s="45" t="s">
        <v>0</v>
      </c>
      <c r="B4" s="46">
        <f>1.25</f>
        <v>1.25</v>
      </c>
      <c r="C4" s="46" t="s">
        <v>59</v>
      </c>
      <c r="D4" s="7">
        <v>24576</v>
      </c>
      <c r="E4" s="51">
        <f t="shared" ref="E4:E11" si="0">D4*D$88</f>
        <v>800</v>
      </c>
      <c r="F4" s="51">
        <f t="shared" ref="F4:F11" si="1">E4/$D$93</f>
        <v>11.2</v>
      </c>
      <c r="G4" s="51">
        <f t="shared" ref="G4:G11" si="2">$D$97*F4</f>
        <v>627.19999999999993</v>
      </c>
    </row>
    <row r="5" spans="1:32" x14ac:dyDescent="0.25">
      <c r="A5" s="45" t="s">
        <v>0</v>
      </c>
      <c r="B5" s="46">
        <v>5</v>
      </c>
      <c r="C5" s="46">
        <v>3</v>
      </c>
      <c r="D5" s="7">
        <v>6144</v>
      </c>
      <c r="E5" s="51">
        <f t="shared" si="0"/>
        <v>200</v>
      </c>
      <c r="F5" s="51">
        <f t="shared" si="1"/>
        <v>2.8</v>
      </c>
      <c r="G5" s="51">
        <f t="shared" si="2"/>
        <v>156.79999999999998</v>
      </c>
    </row>
    <row r="6" spans="1:32" x14ac:dyDescent="0.25">
      <c r="A6" s="45">
        <v>0</v>
      </c>
      <c r="B6" s="46">
        <f>15*2^A6</f>
        <v>15</v>
      </c>
      <c r="C6" s="857" t="s">
        <v>60</v>
      </c>
      <c r="D6" s="7">
        <f>2048*2^-A6</f>
        <v>2048</v>
      </c>
      <c r="E6" s="51">
        <f t="shared" si="0"/>
        <v>66.666666666666671</v>
      </c>
      <c r="F6" s="51">
        <f t="shared" si="1"/>
        <v>0.93333333333333335</v>
      </c>
      <c r="G6" s="51">
        <f t="shared" si="2"/>
        <v>52.266666666666666</v>
      </c>
    </row>
    <row r="7" spans="1:32" ht="15" customHeight="1" x14ac:dyDescent="0.25">
      <c r="A7" s="45">
        <v>1</v>
      </c>
      <c r="B7" s="46">
        <f t="shared" ref="B7:B11" si="3">15*2^A7</f>
        <v>30</v>
      </c>
      <c r="C7" s="858"/>
      <c r="D7" s="7">
        <f t="shared" ref="D7:D11" si="4">2048*2^-A7</f>
        <v>1024</v>
      </c>
      <c r="E7" s="51">
        <f t="shared" si="0"/>
        <v>33.333333333333336</v>
      </c>
      <c r="F7" s="51">
        <f t="shared" si="1"/>
        <v>0.46666666666666667</v>
      </c>
      <c r="G7" s="51">
        <f t="shared" si="2"/>
        <v>26.133333333333333</v>
      </c>
    </row>
    <row r="8" spans="1:32" x14ac:dyDescent="0.25">
      <c r="A8" s="45">
        <v>2</v>
      </c>
      <c r="B8" s="46">
        <f t="shared" si="3"/>
        <v>60</v>
      </c>
      <c r="C8" s="858"/>
      <c r="D8" s="7">
        <f t="shared" si="4"/>
        <v>512</v>
      </c>
      <c r="E8" s="51">
        <f t="shared" si="0"/>
        <v>16.666666666666668</v>
      </c>
      <c r="F8" s="51">
        <f t="shared" si="1"/>
        <v>0.23333333333333334</v>
      </c>
      <c r="G8" s="51">
        <f t="shared" si="2"/>
        <v>13.066666666666666</v>
      </c>
    </row>
    <row r="9" spans="1:32" x14ac:dyDescent="0.25">
      <c r="A9" s="45">
        <v>3</v>
      </c>
      <c r="B9" s="46">
        <f t="shared" si="3"/>
        <v>120</v>
      </c>
      <c r="C9" s="858"/>
      <c r="D9" s="7">
        <f t="shared" si="4"/>
        <v>256</v>
      </c>
      <c r="E9" s="51">
        <f t="shared" si="0"/>
        <v>8.3333333333333339</v>
      </c>
      <c r="F9" s="51">
        <f t="shared" si="1"/>
        <v>0.11666666666666667</v>
      </c>
      <c r="G9" s="51">
        <f t="shared" si="2"/>
        <v>6.5333333333333332</v>
      </c>
    </row>
    <row r="10" spans="1:32" x14ac:dyDescent="0.25">
      <c r="A10" s="45">
        <v>5</v>
      </c>
      <c r="B10" s="46">
        <f t="shared" si="3"/>
        <v>480</v>
      </c>
      <c r="C10" s="858"/>
      <c r="D10" s="7">
        <f t="shared" si="4"/>
        <v>64</v>
      </c>
      <c r="E10" s="51">
        <f t="shared" si="0"/>
        <v>2.0833333333333335</v>
      </c>
      <c r="F10" s="51">
        <f t="shared" si="1"/>
        <v>2.9166666666666667E-2</v>
      </c>
      <c r="G10" s="51">
        <f t="shared" si="2"/>
        <v>1.6333333333333333</v>
      </c>
    </row>
    <row r="11" spans="1:32" x14ac:dyDescent="0.25">
      <c r="A11" s="45">
        <v>6</v>
      </c>
      <c r="B11" s="46">
        <f t="shared" si="3"/>
        <v>960</v>
      </c>
      <c r="C11" s="859"/>
      <c r="D11" s="7">
        <f t="shared" si="4"/>
        <v>32</v>
      </c>
      <c r="E11" s="51">
        <f t="shared" si="0"/>
        <v>1.0416666666666667</v>
      </c>
      <c r="F11" s="51">
        <f t="shared" si="1"/>
        <v>1.4583333333333334E-2</v>
      </c>
      <c r="G11" s="51">
        <f t="shared" si="2"/>
        <v>0.81666666666666665</v>
      </c>
      <c r="S11" s="61" t="s">
        <v>598</v>
      </c>
      <c r="T11" s="61"/>
      <c r="U11" s="61"/>
      <c r="V11" s="61"/>
      <c r="W11" s="61"/>
      <c r="X11" s="61"/>
      <c r="Y11" s="61"/>
      <c r="Z11" s="61"/>
      <c r="AA11" s="61"/>
      <c r="AB11" s="61"/>
      <c r="AC11" s="61"/>
      <c r="AD11" s="61"/>
      <c r="AE11" s="61"/>
      <c r="AF11" s="61"/>
    </row>
    <row r="12" spans="1:32" x14ac:dyDescent="0.25">
      <c r="E12" s="43"/>
      <c r="F12" s="43"/>
    </row>
    <row r="13" spans="1:32" ht="15" customHeight="1" x14ac:dyDescent="0.25">
      <c r="E13" s="860" t="s">
        <v>149</v>
      </c>
      <c r="F13" s="861"/>
      <c r="G13" s="861"/>
      <c r="H13" s="861"/>
      <c r="I13" s="861"/>
      <c r="J13" s="861"/>
      <c r="K13" s="861"/>
      <c r="L13" s="861"/>
      <c r="M13" s="861"/>
      <c r="N13" s="861"/>
      <c r="O13" s="861"/>
      <c r="P13" s="861"/>
      <c r="Q13" s="862"/>
      <c r="T13" s="860" t="s">
        <v>155</v>
      </c>
      <c r="U13" s="861"/>
      <c r="V13" s="861"/>
      <c r="W13" s="861"/>
      <c r="X13" s="861"/>
      <c r="Y13" s="861"/>
      <c r="Z13" s="861"/>
      <c r="AA13" s="861"/>
      <c r="AB13" s="861"/>
      <c r="AC13" s="861"/>
      <c r="AD13" s="861"/>
      <c r="AE13" s="861"/>
      <c r="AF13" s="862"/>
    </row>
    <row r="14" spans="1:32" x14ac:dyDescent="0.25">
      <c r="A14" s="863" t="s">
        <v>77</v>
      </c>
      <c r="B14" s="863" t="s">
        <v>71</v>
      </c>
      <c r="C14" s="863" t="s">
        <v>58</v>
      </c>
      <c r="D14" s="45" t="s">
        <v>63</v>
      </c>
      <c r="E14" s="47">
        <v>0</v>
      </c>
      <c r="F14" s="47">
        <v>1</v>
      </c>
      <c r="G14" s="47">
        <v>2</v>
      </c>
      <c r="H14" s="47">
        <v>3</v>
      </c>
      <c r="I14" s="47" t="s">
        <v>45</v>
      </c>
      <c r="J14" s="47" t="s">
        <v>61</v>
      </c>
      <c r="K14" s="47" t="s">
        <v>62</v>
      </c>
      <c r="L14" s="45" t="s">
        <v>64</v>
      </c>
      <c r="M14" s="45" t="s">
        <v>65</v>
      </c>
      <c r="N14" s="45" t="s">
        <v>66</v>
      </c>
      <c r="O14" s="47" t="s">
        <v>67</v>
      </c>
      <c r="P14" s="47" t="s">
        <v>68</v>
      </c>
      <c r="Q14" s="47" t="s">
        <v>69</v>
      </c>
      <c r="S14" s="45" t="s">
        <v>63</v>
      </c>
      <c r="T14" s="47">
        <v>0</v>
      </c>
      <c r="U14" s="47">
        <v>1</v>
      </c>
      <c r="V14" s="47">
        <v>2</v>
      </c>
      <c r="W14" s="47">
        <v>3</v>
      </c>
      <c r="X14" s="47" t="s">
        <v>45</v>
      </c>
      <c r="Y14" s="47" t="s">
        <v>61</v>
      </c>
      <c r="Z14" s="47" t="s">
        <v>62</v>
      </c>
      <c r="AA14" s="45" t="s">
        <v>64</v>
      </c>
      <c r="AB14" s="45" t="s">
        <v>65</v>
      </c>
      <c r="AC14" s="45" t="s">
        <v>66</v>
      </c>
      <c r="AD14" s="47" t="s">
        <v>67</v>
      </c>
      <c r="AE14" s="47" t="s">
        <v>68</v>
      </c>
      <c r="AF14" s="47" t="s">
        <v>69</v>
      </c>
    </row>
    <row r="15" spans="1:32" x14ac:dyDescent="0.25">
      <c r="A15" s="864"/>
      <c r="B15" s="864"/>
      <c r="C15" s="865"/>
      <c r="D15" s="59" t="s">
        <v>72</v>
      </c>
      <c r="E15" s="45">
        <v>1</v>
      </c>
      <c r="F15" s="45">
        <v>2</v>
      </c>
      <c r="G15" s="45">
        <v>4</v>
      </c>
      <c r="H15" s="45">
        <v>4</v>
      </c>
      <c r="I15" s="45">
        <v>2</v>
      </c>
      <c r="J15" s="45">
        <v>4</v>
      </c>
      <c r="K15" s="45">
        <v>6</v>
      </c>
      <c r="L15" s="45">
        <v>2</v>
      </c>
      <c r="M15" s="45">
        <v>4</v>
      </c>
      <c r="N15" s="45">
        <v>6</v>
      </c>
      <c r="O15" s="45">
        <v>12</v>
      </c>
      <c r="P15" s="45">
        <v>1</v>
      </c>
      <c r="Q15" s="45">
        <v>4</v>
      </c>
      <c r="S15" s="45" t="s">
        <v>72</v>
      </c>
      <c r="T15" s="45">
        <v>1</v>
      </c>
      <c r="U15" s="45">
        <v>2</v>
      </c>
      <c r="V15" s="45">
        <v>4</v>
      </c>
      <c r="W15" s="45">
        <v>4</v>
      </c>
      <c r="X15" s="45">
        <v>2</v>
      </c>
      <c r="Y15" s="45">
        <v>4</v>
      </c>
      <c r="Z15" s="45">
        <v>6</v>
      </c>
      <c r="AA15" s="45">
        <v>2</v>
      </c>
      <c r="AB15" s="45">
        <v>4</v>
      </c>
      <c r="AC15" s="45">
        <v>6</v>
      </c>
      <c r="AD15" s="45">
        <v>12</v>
      </c>
      <c r="AE15" s="45">
        <v>1</v>
      </c>
      <c r="AF15" s="45">
        <v>4</v>
      </c>
    </row>
    <row r="16" spans="1:32" x14ac:dyDescent="0.25">
      <c r="A16" s="45" t="s">
        <v>0</v>
      </c>
      <c r="B16" s="46">
        <f>1.25</f>
        <v>1.25</v>
      </c>
      <c r="C16" s="46" t="s">
        <v>59</v>
      </c>
      <c r="D16" s="46" t="s">
        <v>0</v>
      </c>
      <c r="E16" s="16">
        <f>E$15*$E4</f>
        <v>800</v>
      </c>
      <c r="F16" s="16">
        <f>F$15*$E4</f>
        <v>1600</v>
      </c>
      <c r="G16" s="16">
        <f>G$15*$E4</f>
        <v>3200</v>
      </c>
      <c r="H16" s="16" t="s">
        <v>0</v>
      </c>
      <c r="I16" s="51" t="s">
        <v>0</v>
      </c>
      <c r="J16" s="51" t="s">
        <v>0</v>
      </c>
      <c r="K16" s="51" t="s">
        <v>0</v>
      </c>
      <c r="L16" s="51" t="s">
        <v>0</v>
      </c>
      <c r="M16" s="51" t="s">
        <v>0</v>
      </c>
      <c r="N16" s="51" t="s">
        <v>0</v>
      </c>
      <c r="O16" s="51" t="s">
        <v>0</v>
      </c>
      <c r="P16" s="51" t="s">
        <v>0</v>
      </c>
      <c r="Q16" s="51" t="s">
        <v>0</v>
      </c>
      <c r="S16" s="46" t="s">
        <v>0</v>
      </c>
      <c r="T16" s="60">
        <f>E16/$D$93</f>
        <v>11.2</v>
      </c>
      <c r="U16" s="60">
        <f>F16/$D$93</f>
        <v>22.4</v>
      </c>
      <c r="V16" s="60">
        <f>G16/$D$93</f>
        <v>44.8</v>
      </c>
      <c r="W16" s="51" t="s">
        <v>0</v>
      </c>
      <c r="X16" s="51" t="s">
        <v>0</v>
      </c>
      <c r="Y16" s="51" t="s">
        <v>0</v>
      </c>
      <c r="Z16" s="51" t="s">
        <v>0</v>
      </c>
      <c r="AA16" s="51" t="s">
        <v>0</v>
      </c>
      <c r="AB16" s="51" t="s">
        <v>0</v>
      </c>
      <c r="AC16" s="51" t="s">
        <v>0</v>
      </c>
      <c r="AD16" s="51" t="s">
        <v>0</v>
      </c>
      <c r="AE16" s="51" t="s">
        <v>0</v>
      </c>
      <c r="AF16" s="51" t="s">
        <v>0</v>
      </c>
    </row>
    <row r="17" spans="1:32" x14ac:dyDescent="0.25">
      <c r="A17" s="45" t="s">
        <v>0</v>
      </c>
      <c r="B17" s="46">
        <v>5</v>
      </c>
      <c r="C17" s="46">
        <v>3</v>
      </c>
      <c r="D17" s="46" t="s">
        <v>0</v>
      </c>
      <c r="E17" s="51" t="s">
        <v>0</v>
      </c>
      <c r="F17" s="51" t="s">
        <v>0</v>
      </c>
      <c r="G17" s="51" t="s">
        <v>0</v>
      </c>
      <c r="H17" s="16">
        <f>H$15*$E5</f>
        <v>800</v>
      </c>
      <c r="I17" s="51" t="s">
        <v>0</v>
      </c>
      <c r="J17" s="51" t="s">
        <v>0</v>
      </c>
      <c r="K17" s="51" t="s">
        <v>0</v>
      </c>
      <c r="L17" s="51" t="s">
        <v>0</v>
      </c>
      <c r="M17" s="51" t="s">
        <v>0</v>
      </c>
      <c r="N17" s="51" t="s">
        <v>0</v>
      </c>
      <c r="O17" s="51" t="s">
        <v>0</v>
      </c>
      <c r="P17" s="51" t="s">
        <v>0</v>
      </c>
      <c r="Q17" s="51" t="s">
        <v>0</v>
      </c>
      <c r="S17" s="46" t="s">
        <v>0</v>
      </c>
      <c r="T17" s="51" t="s">
        <v>0</v>
      </c>
      <c r="U17" s="51" t="s">
        <v>0</v>
      </c>
      <c r="V17" s="51" t="s">
        <v>0</v>
      </c>
      <c r="W17" s="60">
        <f>H17/$D$93</f>
        <v>11.2</v>
      </c>
      <c r="X17" s="51" t="s">
        <v>0</v>
      </c>
      <c r="Y17" s="51" t="s">
        <v>0</v>
      </c>
      <c r="Z17" s="51" t="s">
        <v>0</v>
      </c>
      <c r="AA17" s="51" t="s">
        <v>0</v>
      </c>
      <c r="AB17" s="51" t="s">
        <v>0</v>
      </c>
      <c r="AC17" s="51" t="s">
        <v>0</v>
      </c>
      <c r="AD17" s="51" t="s">
        <v>0</v>
      </c>
      <c r="AE17" s="51" t="s">
        <v>0</v>
      </c>
      <c r="AF17" s="51" t="s">
        <v>0</v>
      </c>
    </row>
    <row r="18" spans="1:32" x14ac:dyDescent="0.25">
      <c r="A18" s="45">
        <v>0</v>
      </c>
      <c r="B18" s="46">
        <f>15*2^A18</f>
        <v>15</v>
      </c>
      <c r="C18" s="857" t="s">
        <v>60</v>
      </c>
      <c r="D18" s="46" t="s">
        <v>0</v>
      </c>
      <c r="E18" s="51" t="s">
        <v>0</v>
      </c>
      <c r="F18" s="51" t="s">
        <v>0</v>
      </c>
      <c r="G18" s="51" t="s">
        <v>0</v>
      </c>
      <c r="H18" s="51" t="s">
        <v>0</v>
      </c>
      <c r="I18" s="16">
        <f t="shared" ref="I18:Q18" si="5">I$15*$E6</f>
        <v>133.33333333333334</v>
      </c>
      <c r="J18" s="16">
        <f t="shared" si="5"/>
        <v>266.66666666666669</v>
      </c>
      <c r="K18" s="16">
        <f t="shared" si="5"/>
        <v>400</v>
      </c>
      <c r="L18" s="16">
        <f t="shared" si="5"/>
        <v>133.33333333333334</v>
      </c>
      <c r="M18" s="16">
        <f t="shared" si="5"/>
        <v>266.66666666666669</v>
      </c>
      <c r="N18" s="16">
        <f t="shared" si="5"/>
        <v>400</v>
      </c>
      <c r="O18" s="16">
        <f t="shared" si="5"/>
        <v>800</v>
      </c>
      <c r="P18" s="16">
        <f t="shared" si="5"/>
        <v>66.666666666666671</v>
      </c>
      <c r="Q18" s="16">
        <f t="shared" si="5"/>
        <v>266.66666666666669</v>
      </c>
      <c r="S18" s="46" t="s">
        <v>0</v>
      </c>
      <c r="T18" s="51" t="s">
        <v>0</v>
      </c>
      <c r="U18" s="51" t="s">
        <v>0</v>
      </c>
      <c r="V18" s="51" t="s">
        <v>0</v>
      </c>
      <c r="W18" s="51" t="s">
        <v>0</v>
      </c>
      <c r="X18" s="60">
        <f t="shared" ref="X18:AF23" si="6">I18/$D$93</f>
        <v>1.8666666666666667</v>
      </c>
      <c r="Y18" s="60">
        <f t="shared" si="6"/>
        <v>3.7333333333333334</v>
      </c>
      <c r="Z18" s="60">
        <f t="shared" si="6"/>
        <v>5.6</v>
      </c>
      <c r="AA18" s="60">
        <f t="shared" si="6"/>
        <v>1.8666666666666667</v>
      </c>
      <c r="AB18" s="60">
        <f t="shared" si="6"/>
        <v>3.7333333333333334</v>
      </c>
      <c r="AC18" s="60">
        <f t="shared" si="6"/>
        <v>5.6</v>
      </c>
      <c r="AD18" s="60">
        <f t="shared" si="6"/>
        <v>11.2</v>
      </c>
      <c r="AE18" s="60">
        <f t="shared" si="6"/>
        <v>0.93333333333333335</v>
      </c>
      <c r="AF18" s="60">
        <f t="shared" si="6"/>
        <v>3.7333333333333334</v>
      </c>
    </row>
    <row r="19" spans="1:32" x14ac:dyDescent="0.25">
      <c r="A19" s="45">
        <v>1</v>
      </c>
      <c r="B19" s="46">
        <f t="shared" ref="B19:B23" si="7">15*2^A19</f>
        <v>30</v>
      </c>
      <c r="C19" s="858"/>
      <c r="D19" s="46" t="s">
        <v>0</v>
      </c>
      <c r="E19" s="51" t="s">
        <v>0</v>
      </c>
      <c r="F19" s="51" t="s">
        <v>0</v>
      </c>
      <c r="G19" s="51" t="s">
        <v>0</v>
      </c>
      <c r="H19" s="51" t="s">
        <v>0</v>
      </c>
      <c r="I19" s="16">
        <f t="shared" ref="I19:Q19" si="8">I$15*$E7</f>
        <v>66.666666666666671</v>
      </c>
      <c r="J19" s="16">
        <f t="shared" si="8"/>
        <v>133.33333333333334</v>
      </c>
      <c r="K19" s="16">
        <f t="shared" si="8"/>
        <v>200</v>
      </c>
      <c r="L19" s="16">
        <f t="shared" si="8"/>
        <v>66.666666666666671</v>
      </c>
      <c r="M19" s="16">
        <f t="shared" si="8"/>
        <v>133.33333333333334</v>
      </c>
      <c r="N19" s="16">
        <f t="shared" si="8"/>
        <v>200</v>
      </c>
      <c r="O19" s="16">
        <f t="shared" si="8"/>
        <v>400</v>
      </c>
      <c r="P19" s="16">
        <f t="shared" si="8"/>
        <v>33.333333333333336</v>
      </c>
      <c r="Q19" s="16">
        <f t="shared" si="8"/>
        <v>133.33333333333334</v>
      </c>
      <c r="S19" s="46" t="s">
        <v>0</v>
      </c>
      <c r="T19" s="51" t="s">
        <v>0</v>
      </c>
      <c r="U19" s="51" t="s">
        <v>0</v>
      </c>
      <c r="V19" s="51" t="s">
        <v>0</v>
      </c>
      <c r="W19" s="51" t="s">
        <v>0</v>
      </c>
      <c r="X19" s="51">
        <f t="shared" si="6"/>
        <v>0.93333333333333335</v>
      </c>
      <c r="Y19" s="51">
        <f t="shared" si="6"/>
        <v>1.8666666666666667</v>
      </c>
      <c r="Z19" s="51">
        <f t="shared" si="6"/>
        <v>2.8</v>
      </c>
      <c r="AA19" s="51">
        <f t="shared" si="6"/>
        <v>0.93333333333333335</v>
      </c>
      <c r="AB19" s="51">
        <f t="shared" si="6"/>
        <v>1.8666666666666667</v>
      </c>
      <c r="AC19" s="51">
        <f t="shared" si="6"/>
        <v>2.8</v>
      </c>
      <c r="AD19" s="51">
        <f t="shared" si="6"/>
        <v>5.6</v>
      </c>
      <c r="AE19" s="51">
        <f t="shared" si="6"/>
        <v>0.46666666666666667</v>
      </c>
      <c r="AF19" s="51">
        <f t="shared" si="6"/>
        <v>1.8666666666666667</v>
      </c>
    </row>
    <row r="20" spans="1:32" x14ac:dyDescent="0.25">
      <c r="A20" s="45">
        <v>2</v>
      </c>
      <c r="B20" s="46">
        <f t="shared" si="7"/>
        <v>60</v>
      </c>
      <c r="C20" s="858"/>
      <c r="D20" s="46" t="s">
        <v>0</v>
      </c>
      <c r="E20" s="51" t="s">
        <v>0</v>
      </c>
      <c r="F20" s="51" t="s">
        <v>0</v>
      </c>
      <c r="G20" s="51" t="s">
        <v>0</v>
      </c>
      <c r="H20" s="51" t="s">
        <v>0</v>
      </c>
      <c r="I20" s="16">
        <f t="shared" ref="I20:Q20" si="9">I$15*$E8</f>
        <v>33.333333333333336</v>
      </c>
      <c r="J20" s="16">
        <f t="shared" si="9"/>
        <v>66.666666666666671</v>
      </c>
      <c r="K20" s="16">
        <f t="shared" si="9"/>
        <v>100</v>
      </c>
      <c r="L20" s="16">
        <f t="shared" si="9"/>
        <v>33.333333333333336</v>
      </c>
      <c r="M20" s="16">
        <f t="shared" si="9"/>
        <v>66.666666666666671</v>
      </c>
      <c r="N20" s="16">
        <f t="shared" si="9"/>
        <v>100</v>
      </c>
      <c r="O20" s="16">
        <f t="shared" si="9"/>
        <v>200</v>
      </c>
      <c r="P20" s="16">
        <f t="shared" si="9"/>
        <v>16.666666666666668</v>
      </c>
      <c r="Q20" s="16">
        <f t="shared" si="9"/>
        <v>66.666666666666671</v>
      </c>
      <c r="S20" s="46" t="s">
        <v>0</v>
      </c>
      <c r="T20" s="51" t="s">
        <v>0</v>
      </c>
      <c r="U20" s="51" t="s">
        <v>0</v>
      </c>
      <c r="V20" s="51" t="s">
        <v>0</v>
      </c>
      <c r="W20" s="51" t="s">
        <v>0</v>
      </c>
      <c r="X20" s="51">
        <f t="shared" si="6"/>
        <v>0.46666666666666667</v>
      </c>
      <c r="Y20" s="51">
        <f t="shared" si="6"/>
        <v>0.93333333333333335</v>
      </c>
      <c r="Z20" s="51">
        <f t="shared" si="6"/>
        <v>1.4</v>
      </c>
      <c r="AA20" s="51">
        <f t="shared" si="6"/>
        <v>0.46666666666666667</v>
      </c>
      <c r="AB20" s="51">
        <f t="shared" si="6"/>
        <v>0.93333333333333335</v>
      </c>
      <c r="AC20" s="51">
        <f t="shared" si="6"/>
        <v>1.4</v>
      </c>
      <c r="AD20" s="51">
        <f t="shared" si="6"/>
        <v>2.8</v>
      </c>
      <c r="AE20" s="51">
        <f t="shared" si="6"/>
        <v>0.23333333333333334</v>
      </c>
      <c r="AF20" s="51">
        <f t="shared" si="6"/>
        <v>0.93333333333333335</v>
      </c>
    </row>
    <row r="21" spans="1:32" x14ac:dyDescent="0.25">
      <c r="A21" s="45">
        <v>3</v>
      </c>
      <c r="B21" s="46">
        <f t="shared" si="7"/>
        <v>120</v>
      </c>
      <c r="C21" s="858"/>
      <c r="D21" s="46" t="s">
        <v>0</v>
      </c>
      <c r="E21" s="51" t="s">
        <v>0</v>
      </c>
      <c r="F21" s="51" t="s">
        <v>0</v>
      </c>
      <c r="G21" s="51" t="s">
        <v>0</v>
      </c>
      <c r="H21" s="51" t="s">
        <v>0</v>
      </c>
      <c r="I21" s="51">
        <f t="shared" ref="I21:Q21" si="10">I$15*$E9</f>
        <v>16.666666666666668</v>
      </c>
      <c r="J21" s="51">
        <f t="shared" si="10"/>
        <v>33.333333333333336</v>
      </c>
      <c r="K21" s="51">
        <f t="shared" si="10"/>
        <v>50</v>
      </c>
      <c r="L21" s="51">
        <f t="shared" si="10"/>
        <v>16.666666666666668</v>
      </c>
      <c r="M21" s="51">
        <f t="shared" si="10"/>
        <v>33.333333333333336</v>
      </c>
      <c r="N21" s="51">
        <f t="shared" si="10"/>
        <v>50</v>
      </c>
      <c r="O21" s="51">
        <f t="shared" si="10"/>
        <v>100</v>
      </c>
      <c r="P21" s="51">
        <f t="shared" si="10"/>
        <v>8.3333333333333339</v>
      </c>
      <c r="Q21" s="51">
        <f t="shared" si="10"/>
        <v>33.333333333333336</v>
      </c>
      <c r="S21" s="46" t="s">
        <v>0</v>
      </c>
      <c r="T21" s="51" t="s">
        <v>0</v>
      </c>
      <c r="U21" s="51" t="s">
        <v>0</v>
      </c>
      <c r="V21" s="51" t="s">
        <v>0</v>
      </c>
      <c r="W21" s="51" t="s">
        <v>0</v>
      </c>
      <c r="X21" s="51">
        <f t="shared" si="6"/>
        <v>0.23333333333333334</v>
      </c>
      <c r="Y21" s="51">
        <f t="shared" si="6"/>
        <v>0.46666666666666667</v>
      </c>
      <c r="Z21" s="51">
        <f t="shared" si="6"/>
        <v>0.7</v>
      </c>
      <c r="AA21" s="51">
        <f t="shared" si="6"/>
        <v>0.23333333333333334</v>
      </c>
      <c r="AB21" s="51">
        <f t="shared" si="6"/>
        <v>0.46666666666666667</v>
      </c>
      <c r="AC21" s="51">
        <f t="shared" si="6"/>
        <v>0.7</v>
      </c>
      <c r="AD21" s="51">
        <f t="shared" si="6"/>
        <v>1.4</v>
      </c>
      <c r="AE21" s="51">
        <f t="shared" si="6"/>
        <v>0.11666666666666667</v>
      </c>
      <c r="AF21" s="51">
        <f t="shared" si="6"/>
        <v>0.46666666666666667</v>
      </c>
    </row>
    <row r="22" spans="1:32" x14ac:dyDescent="0.25">
      <c r="A22" s="45">
        <v>5</v>
      </c>
      <c r="B22" s="46">
        <f t="shared" si="7"/>
        <v>480</v>
      </c>
      <c r="C22" s="858"/>
      <c r="D22" s="46" t="s">
        <v>0</v>
      </c>
      <c r="E22" s="51" t="s">
        <v>0</v>
      </c>
      <c r="F22" s="51" t="s">
        <v>0</v>
      </c>
      <c r="G22" s="51" t="s">
        <v>0</v>
      </c>
      <c r="H22" s="51" t="s">
        <v>0</v>
      </c>
      <c r="I22" s="51">
        <f t="shared" ref="I22:Q22" si="11">I$15*$E10</f>
        <v>4.166666666666667</v>
      </c>
      <c r="J22" s="51">
        <f t="shared" si="11"/>
        <v>8.3333333333333339</v>
      </c>
      <c r="K22" s="51">
        <f t="shared" si="11"/>
        <v>12.5</v>
      </c>
      <c r="L22" s="51">
        <f t="shared" si="11"/>
        <v>4.166666666666667</v>
      </c>
      <c r="M22" s="51">
        <f t="shared" si="11"/>
        <v>8.3333333333333339</v>
      </c>
      <c r="N22" s="51">
        <f t="shared" si="11"/>
        <v>12.5</v>
      </c>
      <c r="O22" s="51">
        <f t="shared" si="11"/>
        <v>25</v>
      </c>
      <c r="P22" s="51">
        <f t="shared" si="11"/>
        <v>2.0833333333333335</v>
      </c>
      <c r="Q22" s="51">
        <f t="shared" si="11"/>
        <v>8.3333333333333339</v>
      </c>
      <c r="S22" s="46" t="s">
        <v>0</v>
      </c>
      <c r="T22" s="51" t="s">
        <v>0</v>
      </c>
      <c r="U22" s="51" t="s">
        <v>0</v>
      </c>
      <c r="V22" s="51" t="s">
        <v>0</v>
      </c>
      <c r="W22" s="51" t="s">
        <v>0</v>
      </c>
      <c r="X22" s="51">
        <f t="shared" si="6"/>
        <v>5.8333333333333334E-2</v>
      </c>
      <c r="Y22" s="51">
        <f t="shared" si="6"/>
        <v>0.11666666666666667</v>
      </c>
      <c r="Z22" s="51">
        <f t="shared" si="6"/>
        <v>0.17499999999999999</v>
      </c>
      <c r="AA22" s="51">
        <f t="shared" si="6"/>
        <v>5.8333333333333334E-2</v>
      </c>
      <c r="AB22" s="51">
        <f t="shared" si="6"/>
        <v>0.11666666666666667</v>
      </c>
      <c r="AC22" s="51">
        <f t="shared" si="6"/>
        <v>0.17499999999999999</v>
      </c>
      <c r="AD22" s="51">
        <f t="shared" si="6"/>
        <v>0.35</v>
      </c>
      <c r="AE22" s="51">
        <f t="shared" si="6"/>
        <v>2.9166666666666667E-2</v>
      </c>
      <c r="AF22" s="51">
        <f t="shared" si="6"/>
        <v>0.11666666666666667</v>
      </c>
    </row>
    <row r="23" spans="1:32" x14ac:dyDescent="0.25">
      <c r="A23" s="45">
        <v>6</v>
      </c>
      <c r="B23" s="46">
        <f t="shared" si="7"/>
        <v>960</v>
      </c>
      <c r="C23" s="859"/>
      <c r="D23" s="46" t="s">
        <v>0</v>
      </c>
      <c r="E23" s="51" t="s">
        <v>0</v>
      </c>
      <c r="F23" s="51" t="s">
        <v>0</v>
      </c>
      <c r="G23" s="51" t="s">
        <v>0</v>
      </c>
      <c r="H23" s="51" t="s">
        <v>0</v>
      </c>
      <c r="I23" s="51">
        <f t="shared" ref="I23:Q23" si="12">I$15*$E11</f>
        <v>2.0833333333333335</v>
      </c>
      <c r="J23" s="51">
        <f t="shared" si="12"/>
        <v>4.166666666666667</v>
      </c>
      <c r="K23" s="51">
        <f t="shared" si="12"/>
        <v>6.25</v>
      </c>
      <c r="L23" s="51">
        <f t="shared" si="12"/>
        <v>2.0833333333333335</v>
      </c>
      <c r="M23" s="51">
        <f t="shared" si="12"/>
        <v>4.166666666666667</v>
      </c>
      <c r="N23" s="51">
        <f t="shared" si="12"/>
        <v>6.25</v>
      </c>
      <c r="O23" s="51">
        <f t="shared" si="12"/>
        <v>12.5</v>
      </c>
      <c r="P23" s="51">
        <f t="shared" si="12"/>
        <v>1.0416666666666667</v>
      </c>
      <c r="Q23" s="51">
        <f t="shared" si="12"/>
        <v>4.166666666666667</v>
      </c>
      <c r="S23" s="46" t="s">
        <v>0</v>
      </c>
      <c r="T23" s="51" t="s">
        <v>0</v>
      </c>
      <c r="U23" s="51" t="s">
        <v>0</v>
      </c>
      <c r="V23" s="51" t="s">
        <v>0</v>
      </c>
      <c r="W23" s="51" t="s">
        <v>0</v>
      </c>
      <c r="X23" s="51">
        <f t="shared" si="6"/>
        <v>2.9166666666666667E-2</v>
      </c>
      <c r="Y23" s="51">
        <f t="shared" si="6"/>
        <v>5.8333333333333334E-2</v>
      </c>
      <c r="Z23" s="51">
        <f t="shared" si="6"/>
        <v>8.7499999999999994E-2</v>
      </c>
      <c r="AA23" s="51">
        <f t="shared" si="6"/>
        <v>2.9166666666666667E-2</v>
      </c>
      <c r="AB23" s="51">
        <f t="shared" si="6"/>
        <v>5.8333333333333334E-2</v>
      </c>
      <c r="AC23" s="51">
        <f t="shared" si="6"/>
        <v>8.7499999999999994E-2</v>
      </c>
      <c r="AD23" s="51">
        <f t="shared" si="6"/>
        <v>0.17499999999999999</v>
      </c>
      <c r="AE23" s="51">
        <f t="shared" si="6"/>
        <v>1.4583333333333334E-2</v>
      </c>
      <c r="AF23" s="51">
        <f t="shared" si="6"/>
        <v>5.8333333333333334E-2</v>
      </c>
    </row>
    <row r="25" spans="1:32" x14ac:dyDescent="0.25">
      <c r="E25" s="855" t="s">
        <v>80</v>
      </c>
      <c r="F25" s="855"/>
      <c r="G25" s="855"/>
      <c r="H25" s="855"/>
      <c r="I25" s="855"/>
      <c r="J25" s="855"/>
      <c r="K25" s="855"/>
      <c r="L25" s="855"/>
      <c r="M25" s="855"/>
      <c r="N25" s="855"/>
      <c r="O25" s="855"/>
      <c r="P25" s="855"/>
      <c r="Q25" s="855"/>
      <c r="T25" s="855" t="s">
        <v>156</v>
      </c>
      <c r="U25" s="855"/>
      <c r="V25" s="855"/>
      <c r="W25" s="855"/>
      <c r="X25" s="855"/>
      <c r="Y25" s="855"/>
      <c r="Z25" s="855"/>
      <c r="AA25" s="855"/>
      <c r="AB25" s="855"/>
      <c r="AC25" s="855"/>
      <c r="AD25" s="855"/>
      <c r="AE25" s="855"/>
      <c r="AF25" s="855"/>
    </row>
    <row r="26" spans="1:32" x14ac:dyDescent="0.25">
      <c r="A26" s="866" t="s">
        <v>77</v>
      </c>
      <c r="B26" s="863" t="s">
        <v>71</v>
      </c>
      <c r="C26" s="863" t="s">
        <v>58</v>
      </c>
      <c r="D26" s="45" t="s">
        <v>63</v>
      </c>
      <c r="E26" s="47">
        <v>0</v>
      </c>
      <c r="F26" s="47">
        <v>1</v>
      </c>
      <c r="G26" s="47">
        <v>2</v>
      </c>
      <c r="H26" s="47">
        <v>3</v>
      </c>
      <c r="I26" s="45" t="s">
        <v>45</v>
      </c>
      <c r="J26" s="45" t="s">
        <v>61</v>
      </c>
      <c r="K26" s="45" t="s">
        <v>62</v>
      </c>
      <c r="L26" s="45" t="s">
        <v>64</v>
      </c>
      <c r="M26" s="45" t="s">
        <v>65</v>
      </c>
      <c r="N26" s="45" t="s">
        <v>66</v>
      </c>
      <c r="O26" s="45" t="s">
        <v>67</v>
      </c>
      <c r="P26" s="45" t="s">
        <v>68</v>
      </c>
      <c r="Q26" s="45" t="s">
        <v>69</v>
      </c>
      <c r="S26" s="45" t="s">
        <v>63</v>
      </c>
      <c r="T26" s="47">
        <v>0</v>
      </c>
      <c r="U26" s="47">
        <v>1</v>
      </c>
      <c r="V26" s="47">
        <v>2</v>
      </c>
      <c r="W26" s="47">
        <v>3</v>
      </c>
      <c r="X26" s="45" t="s">
        <v>45</v>
      </c>
      <c r="Y26" s="45" t="s">
        <v>61</v>
      </c>
      <c r="Z26" s="45" t="s">
        <v>62</v>
      </c>
      <c r="AA26" s="45" t="s">
        <v>64</v>
      </c>
      <c r="AB26" s="45" t="s">
        <v>65</v>
      </c>
      <c r="AC26" s="45" t="s">
        <v>66</v>
      </c>
      <c r="AD26" s="45" t="s">
        <v>67</v>
      </c>
      <c r="AE26" s="45" t="s">
        <v>68</v>
      </c>
      <c r="AF26" s="45" t="s">
        <v>69</v>
      </c>
    </row>
    <row r="27" spans="1:32" ht="30" x14ac:dyDescent="0.25">
      <c r="A27" s="864"/>
      <c r="B27" s="864"/>
      <c r="C27" s="865"/>
      <c r="D27" s="47" t="s">
        <v>76</v>
      </c>
      <c r="E27" s="54">
        <v>3168</v>
      </c>
      <c r="F27" s="54">
        <v>21024</v>
      </c>
      <c r="G27" s="54">
        <v>4688</v>
      </c>
      <c r="H27" s="54">
        <v>3168</v>
      </c>
      <c r="I27" s="54">
        <v>288</v>
      </c>
      <c r="J27" s="54">
        <v>576</v>
      </c>
      <c r="K27" s="54">
        <v>864</v>
      </c>
      <c r="L27" s="54">
        <v>216</v>
      </c>
      <c r="M27" s="54">
        <v>360</v>
      </c>
      <c r="N27" s="54">
        <v>504</v>
      </c>
      <c r="O27" s="54">
        <v>936</v>
      </c>
      <c r="P27" s="54">
        <v>1240</v>
      </c>
      <c r="Q27" s="54">
        <v>2048</v>
      </c>
      <c r="R27" s="52"/>
      <c r="S27" s="47"/>
      <c r="T27" s="54"/>
      <c r="U27" s="54"/>
      <c r="V27" s="54"/>
      <c r="W27" s="54"/>
      <c r="X27" s="54"/>
      <c r="Y27" s="54"/>
      <c r="Z27" s="54"/>
      <c r="AA27" s="54"/>
      <c r="AB27" s="54"/>
      <c r="AC27" s="54"/>
      <c r="AD27" s="54"/>
      <c r="AE27" s="54"/>
      <c r="AF27" s="54"/>
    </row>
    <row r="28" spans="1:32" x14ac:dyDescent="0.25">
      <c r="A28" s="45" t="s">
        <v>0</v>
      </c>
      <c r="B28" s="46">
        <f>1.25</f>
        <v>1.25</v>
      </c>
      <c r="C28" s="46" t="s">
        <v>59</v>
      </c>
      <c r="D28" s="46" t="s">
        <v>0</v>
      </c>
      <c r="E28" s="16">
        <f>E$27*$D$88</f>
        <v>103.12500000000001</v>
      </c>
      <c r="F28" s="16">
        <f>F$27*$D$88</f>
        <v>684.375</v>
      </c>
      <c r="G28" s="16">
        <f>G$27*$D$88</f>
        <v>152.60416666666669</v>
      </c>
      <c r="H28" s="51" t="s">
        <v>0</v>
      </c>
      <c r="I28" s="51" t="s">
        <v>0</v>
      </c>
      <c r="J28" s="51" t="s">
        <v>0</v>
      </c>
      <c r="K28" s="51" t="s">
        <v>0</v>
      </c>
      <c r="L28" s="51" t="s">
        <v>0</v>
      </c>
      <c r="M28" s="51" t="s">
        <v>0</v>
      </c>
      <c r="N28" s="51" t="s">
        <v>0</v>
      </c>
      <c r="O28" s="51" t="s">
        <v>0</v>
      </c>
      <c r="P28" s="51" t="s">
        <v>0</v>
      </c>
      <c r="Q28" s="51" t="s">
        <v>0</v>
      </c>
      <c r="R28" s="53"/>
      <c r="S28" s="46" t="s">
        <v>0</v>
      </c>
      <c r="T28" s="60">
        <f>E28/$D$93</f>
        <v>1.4437500000000001</v>
      </c>
      <c r="U28" s="60">
        <f>F28/$D$93</f>
        <v>9.5812499999999989</v>
      </c>
      <c r="V28" s="60">
        <f>G28/$D$93</f>
        <v>2.1364583333333336</v>
      </c>
      <c r="W28" s="51" t="s">
        <v>0</v>
      </c>
      <c r="X28" s="51" t="s">
        <v>0</v>
      </c>
      <c r="Y28" s="51" t="s">
        <v>0</v>
      </c>
      <c r="Z28" s="51" t="s">
        <v>0</v>
      </c>
      <c r="AA28" s="51" t="s">
        <v>0</v>
      </c>
      <c r="AB28" s="51" t="s">
        <v>0</v>
      </c>
      <c r="AC28" s="51" t="s">
        <v>0</v>
      </c>
      <c r="AD28" s="51" t="s">
        <v>0</v>
      </c>
      <c r="AE28" s="51" t="s">
        <v>0</v>
      </c>
      <c r="AF28" s="51" t="s">
        <v>0</v>
      </c>
    </row>
    <row r="29" spans="1:32" x14ac:dyDescent="0.25">
      <c r="A29" s="45" t="s">
        <v>0</v>
      </c>
      <c r="B29" s="46">
        <v>5</v>
      </c>
      <c r="C29" s="46">
        <v>3</v>
      </c>
      <c r="D29" s="46" t="s">
        <v>0</v>
      </c>
      <c r="E29" s="51" t="s">
        <v>0</v>
      </c>
      <c r="F29" s="51" t="s">
        <v>0</v>
      </c>
      <c r="G29" s="51" t="s">
        <v>0</v>
      </c>
      <c r="H29" s="16">
        <f>H$27*$D$88</f>
        <v>103.12500000000001</v>
      </c>
      <c r="I29" s="51" t="s">
        <v>0</v>
      </c>
      <c r="J29" s="51" t="s">
        <v>0</v>
      </c>
      <c r="K29" s="51" t="s">
        <v>0</v>
      </c>
      <c r="L29" s="51" t="s">
        <v>0</v>
      </c>
      <c r="M29" s="51" t="s">
        <v>0</v>
      </c>
      <c r="N29" s="51" t="s">
        <v>0</v>
      </c>
      <c r="O29" s="51" t="s">
        <v>0</v>
      </c>
      <c r="P29" s="51" t="s">
        <v>0</v>
      </c>
      <c r="Q29" s="51" t="s">
        <v>0</v>
      </c>
      <c r="R29" s="53"/>
      <c r="S29" s="46" t="s">
        <v>0</v>
      </c>
      <c r="T29" s="51" t="s">
        <v>0</v>
      </c>
      <c r="U29" s="51" t="s">
        <v>0</v>
      </c>
      <c r="V29" s="51" t="s">
        <v>0</v>
      </c>
      <c r="W29" s="60">
        <f>H29/$D$93</f>
        <v>1.4437500000000001</v>
      </c>
      <c r="X29" s="51" t="s">
        <v>0</v>
      </c>
      <c r="Y29" s="51" t="s">
        <v>0</v>
      </c>
      <c r="Z29" s="51" t="s">
        <v>0</v>
      </c>
      <c r="AA29" s="51" t="s">
        <v>0</v>
      </c>
      <c r="AB29" s="51" t="s">
        <v>0</v>
      </c>
      <c r="AC29" s="51" t="s">
        <v>0</v>
      </c>
      <c r="AD29" s="51" t="s">
        <v>0</v>
      </c>
      <c r="AE29" s="51" t="s">
        <v>0</v>
      </c>
      <c r="AF29" s="51" t="s">
        <v>0</v>
      </c>
    </row>
    <row r="30" spans="1:32" x14ac:dyDescent="0.25">
      <c r="A30" s="45">
        <v>0</v>
      </c>
      <c r="B30" s="46">
        <f>15*2^A30</f>
        <v>15</v>
      </c>
      <c r="C30" s="857" t="s">
        <v>60</v>
      </c>
      <c r="D30" s="46" t="s">
        <v>0</v>
      </c>
      <c r="E30" s="51" t="s">
        <v>0</v>
      </c>
      <c r="F30" s="51" t="s">
        <v>0</v>
      </c>
      <c r="G30" s="51" t="s">
        <v>0</v>
      </c>
      <c r="H30" s="51" t="s">
        <v>0</v>
      </c>
      <c r="I30" s="16">
        <f t="shared" ref="I30:Q35" si="13">I$27*$D$88*2^-$A30</f>
        <v>9.375</v>
      </c>
      <c r="J30" s="16">
        <f t="shared" si="13"/>
        <v>18.75</v>
      </c>
      <c r="K30" s="16">
        <f t="shared" si="13"/>
        <v>28.125000000000004</v>
      </c>
      <c r="L30" s="16">
        <f t="shared" si="13"/>
        <v>7.0312500000000009</v>
      </c>
      <c r="M30" s="16">
        <f t="shared" si="13"/>
        <v>11.71875</v>
      </c>
      <c r="N30" s="16">
        <f t="shared" si="13"/>
        <v>16.40625</v>
      </c>
      <c r="O30" s="16">
        <f t="shared" si="13"/>
        <v>30.468750000000004</v>
      </c>
      <c r="P30" s="16">
        <f t="shared" si="13"/>
        <v>40.364583333333336</v>
      </c>
      <c r="Q30" s="16">
        <f t="shared" si="13"/>
        <v>66.666666666666671</v>
      </c>
      <c r="R30" s="53"/>
      <c r="S30" s="46" t="s">
        <v>0</v>
      </c>
      <c r="T30" s="51" t="s">
        <v>0</v>
      </c>
      <c r="U30" s="51" t="s">
        <v>0</v>
      </c>
      <c r="V30" s="51" t="s">
        <v>0</v>
      </c>
      <c r="W30" s="51" t="s">
        <v>0</v>
      </c>
      <c r="X30" s="60">
        <f t="shared" ref="X30:AF35" si="14">I30/$D$93</f>
        <v>0.13125000000000001</v>
      </c>
      <c r="Y30" s="60">
        <f t="shared" si="14"/>
        <v>0.26250000000000001</v>
      </c>
      <c r="Z30" s="60">
        <f t="shared" si="14"/>
        <v>0.39375000000000004</v>
      </c>
      <c r="AA30" s="60">
        <f t="shared" si="14"/>
        <v>9.8437500000000011E-2</v>
      </c>
      <c r="AB30" s="60">
        <f t="shared" si="14"/>
        <v>0.1640625</v>
      </c>
      <c r="AC30" s="60">
        <f t="shared" si="14"/>
        <v>0.22968749999999999</v>
      </c>
      <c r="AD30" s="60">
        <f t="shared" si="14"/>
        <v>0.42656250000000001</v>
      </c>
      <c r="AE30" s="60">
        <f t="shared" si="14"/>
        <v>0.56510416666666663</v>
      </c>
      <c r="AF30" s="60">
        <f t="shared" si="14"/>
        <v>0.93333333333333335</v>
      </c>
    </row>
    <row r="31" spans="1:32" x14ac:dyDescent="0.25">
      <c r="A31" s="45">
        <v>1</v>
      </c>
      <c r="B31" s="46">
        <f t="shared" ref="B31:B35" si="15">15*2^A31</f>
        <v>30</v>
      </c>
      <c r="C31" s="858"/>
      <c r="D31" s="46" t="s">
        <v>0</v>
      </c>
      <c r="E31" s="51" t="s">
        <v>0</v>
      </c>
      <c r="F31" s="51" t="s">
        <v>0</v>
      </c>
      <c r="G31" s="51" t="s">
        <v>0</v>
      </c>
      <c r="H31" s="51" t="s">
        <v>0</v>
      </c>
      <c r="I31" s="51">
        <f t="shared" si="13"/>
        <v>4.6875</v>
      </c>
      <c r="J31" s="51">
        <f t="shared" si="13"/>
        <v>9.375</v>
      </c>
      <c r="K31" s="51">
        <f t="shared" si="13"/>
        <v>14.062500000000002</v>
      </c>
      <c r="L31" s="51">
        <f t="shared" si="13"/>
        <v>3.5156250000000004</v>
      </c>
      <c r="M31" s="51">
        <f t="shared" si="13"/>
        <v>5.859375</v>
      </c>
      <c r="N31" s="51">
        <f t="shared" si="13"/>
        <v>8.203125</v>
      </c>
      <c r="O31" s="51">
        <f t="shared" si="13"/>
        <v>15.234375000000002</v>
      </c>
      <c r="P31" s="51">
        <f t="shared" si="13"/>
        <v>20.182291666666668</v>
      </c>
      <c r="Q31" s="51">
        <f t="shared" si="13"/>
        <v>33.333333333333336</v>
      </c>
      <c r="R31" s="53"/>
      <c r="S31" s="46" t="s">
        <v>0</v>
      </c>
      <c r="T31" s="51" t="s">
        <v>0</v>
      </c>
      <c r="U31" s="51" t="s">
        <v>0</v>
      </c>
      <c r="V31" s="51" t="s">
        <v>0</v>
      </c>
      <c r="W31" s="51" t="s">
        <v>0</v>
      </c>
      <c r="X31" s="51">
        <f t="shared" si="14"/>
        <v>6.5625000000000003E-2</v>
      </c>
      <c r="Y31" s="51">
        <f t="shared" si="14"/>
        <v>0.13125000000000001</v>
      </c>
      <c r="Z31" s="51">
        <f t="shared" si="14"/>
        <v>0.19687500000000002</v>
      </c>
      <c r="AA31" s="51">
        <f t="shared" si="14"/>
        <v>4.9218750000000006E-2</v>
      </c>
      <c r="AB31" s="51">
        <f t="shared" si="14"/>
        <v>8.203125E-2</v>
      </c>
      <c r="AC31" s="51">
        <f t="shared" si="14"/>
        <v>0.11484374999999999</v>
      </c>
      <c r="AD31" s="51">
        <f t="shared" si="14"/>
        <v>0.21328125000000001</v>
      </c>
      <c r="AE31" s="51">
        <f t="shared" si="14"/>
        <v>0.28255208333333331</v>
      </c>
      <c r="AF31" s="51">
        <f t="shared" si="14"/>
        <v>0.46666666666666667</v>
      </c>
    </row>
    <row r="32" spans="1:32" x14ac:dyDescent="0.25">
      <c r="A32" s="45">
        <v>2</v>
      </c>
      <c r="B32" s="46">
        <f t="shared" si="15"/>
        <v>60</v>
      </c>
      <c r="C32" s="858"/>
      <c r="D32" s="46" t="s">
        <v>0</v>
      </c>
      <c r="E32" s="51" t="s">
        <v>0</v>
      </c>
      <c r="F32" s="51" t="s">
        <v>0</v>
      </c>
      <c r="G32" s="51" t="s">
        <v>0</v>
      </c>
      <c r="H32" s="51" t="s">
        <v>0</v>
      </c>
      <c r="I32" s="51">
        <f t="shared" si="13"/>
        <v>2.34375</v>
      </c>
      <c r="J32" s="51">
        <f t="shared" si="13"/>
        <v>4.6875</v>
      </c>
      <c r="K32" s="51">
        <f t="shared" si="13"/>
        <v>7.0312500000000009</v>
      </c>
      <c r="L32" s="51">
        <f t="shared" si="13"/>
        <v>1.7578125000000002</v>
      </c>
      <c r="M32" s="51">
        <f t="shared" si="13"/>
        <v>2.9296875</v>
      </c>
      <c r="N32" s="51">
        <f t="shared" si="13"/>
        <v>4.1015625</v>
      </c>
      <c r="O32" s="51">
        <f t="shared" si="13"/>
        <v>7.6171875000000009</v>
      </c>
      <c r="P32" s="51">
        <f t="shared" si="13"/>
        <v>10.091145833333334</v>
      </c>
      <c r="Q32" s="51">
        <f t="shared" si="13"/>
        <v>16.666666666666668</v>
      </c>
      <c r="R32" s="53"/>
      <c r="S32" s="46" t="s">
        <v>0</v>
      </c>
      <c r="T32" s="51" t="s">
        <v>0</v>
      </c>
      <c r="U32" s="51" t="s">
        <v>0</v>
      </c>
      <c r="V32" s="51" t="s">
        <v>0</v>
      </c>
      <c r="W32" s="51" t="s">
        <v>0</v>
      </c>
      <c r="X32" s="55">
        <f t="shared" si="14"/>
        <v>3.2812500000000001E-2</v>
      </c>
      <c r="Y32" s="55">
        <f t="shared" si="14"/>
        <v>6.5625000000000003E-2</v>
      </c>
      <c r="Z32" s="55">
        <f t="shared" si="14"/>
        <v>9.8437500000000011E-2</v>
      </c>
      <c r="AA32" s="55">
        <f t="shared" si="14"/>
        <v>2.4609375000000003E-2</v>
      </c>
      <c r="AB32" s="55">
        <f t="shared" si="14"/>
        <v>4.1015625E-2</v>
      </c>
      <c r="AC32" s="55">
        <f t="shared" si="14"/>
        <v>5.7421874999999997E-2</v>
      </c>
      <c r="AD32" s="55">
        <f t="shared" si="14"/>
        <v>0.106640625</v>
      </c>
      <c r="AE32" s="55">
        <f t="shared" si="14"/>
        <v>0.14127604166666666</v>
      </c>
      <c r="AF32" s="55">
        <f t="shared" si="14"/>
        <v>0.23333333333333334</v>
      </c>
    </row>
    <row r="33" spans="1:32" x14ac:dyDescent="0.25">
      <c r="A33" s="45">
        <v>3</v>
      </c>
      <c r="B33" s="46">
        <f t="shared" si="15"/>
        <v>120</v>
      </c>
      <c r="C33" s="858"/>
      <c r="D33" s="46" t="s">
        <v>0</v>
      </c>
      <c r="E33" s="51" t="s">
        <v>0</v>
      </c>
      <c r="F33" s="51" t="s">
        <v>0</v>
      </c>
      <c r="G33" s="51" t="s">
        <v>0</v>
      </c>
      <c r="H33" s="51" t="s">
        <v>0</v>
      </c>
      <c r="I33" s="51">
        <f t="shared" si="13"/>
        <v>1.171875</v>
      </c>
      <c r="J33" s="51">
        <f t="shared" si="13"/>
        <v>2.34375</v>
      </c>
      <c r="K33" s="51">
        <f t="shared" si="13"/>
        <v>3.5156250000000004</v>
      </c>
      <c r="L33" s="51">
        <f t="shared" si="13"/>
        <v>0.87890625000000011</v>
      </c>
      <c r="M33" s="51">
        <f t="shared" si="13"/>
        <v>1.46484375</v>
      </c>
      <c r="N33" s="51">
        <f t="shared" si="13"/>
        <v>2.05078125</v>
      </c>
      <c r="O33" s="51">
        <f t="shared" si="13"/>
        <v>3.8085937500000004</v>
      </c>
      <c r="P33" s="51">
        <f t="shared" si="13"/>
        <v>5.045572916666667</v>
      </c>
      <c r="Q33" s="51">
        <f t="shared" si="13"/>
        <v>8.3333333333333339</v>
      </c>
      <c r="R33" s="53"/>
      <c r="S33" s="46" t="s">
        <v>0</v>
      </c>
      <c r="T33" s="51" t="s">
        <v>0</v>
      </c>
      <c r="U33" s="51" t="s">
        <v>0</v>
      </c>
      <c r="V33" s="51" t="s">
        <v>0</v>
      </c>
      <c r="W33" s="51" t="s">
        <v>0</v>
      </c>
      <c r="X33" s="55">
        <f t="shared" si="14"/>
        <v>1.6406250000000001E-2</v>
      </c>
      <c r="Y33" s="55">
        <f t="shared" si="14"/>
        <v>3.2812500000000001E-2</v>
      </c>
      <c r="Z33" s="55">
        <f t="shared" si="14"/>
        <v>4.9218750000000006E-2</v>
      </c>
      <c r="AA33" s="55">
        <f t="shared" si="14"/>
        <v>1.2304687500000001E-2</v>
      </c>
      <c r="AB33" s="55">
        <f t="shared" si="14"/>
        <v>2.05078125E-2</v>
      </c>
      <c r="AC33" s="55">
        <f t="shared" si="14"/>
        <v>2.8710937499999999E-2</v>
      </c>
      <c r="AD33" s="55">
        <f t="shared" si="14"/>
        <v>5.3320312500000001E-2</v>
      </c>
      <c r="AE33" s="55">
        <f t="shared" si="14"/>
        <v>7.0638020833333329E-2</v>
      </c>
      <c r="AF33" s="55">
        <f t="shared" si="14"/>
        <v>0.11666666666666667</v>
      </c>
    </row>
    <row r="34" spans="1:32" x14ac:dyDescent="0.25">
      <c r="A34" s="45">
        <v>5</v>
      </c>
      <c r="B34" s="46">
        <f t="shared" si="15"/>
        <v>480</v>
      </c>
      <c r="C34" s="858"/>
      <c r="D34" s="46" t="s">
        <v>0</v>
      </c>
      <c r="E34" s="51" t="s">
        <v>0</v>
      </c>
      <c r="F34" s="51" t="s">
        <v>0</v>
      </c>
      <c r="G34" s="51" t="s">
        <v>0</v>
      </c>
      <c r="H34" s="51" t="s">
        <v>0</v>
      </c>
      <c r="I34" s="51">
        <f t="shared" si="13"/>
        <v>0.29296875</v>
      </c>
      <c r="J34" s="51">
        <f t="shared" si="13"/>
        <v>0.5859375</v>
      </c>
      <c r="K34" s="51">
        <f t="shared" si="13"/>
        <v>0.87890625000000011</v>
      </c>
      <c r="L34" s="51">
        <f t="shared" si="13"/>
        <v>0.21972656250000003</v>
      </c>
      <c r="M34" s="51">
        <f t="shared" si="13"/>
        <v>0.3662109375</v>
      </c>
      <c r="N34" s="51">
        <f t="shared" si="13"/>
        <v>0.5126953125</v>
      </c>
      <c r="O34" s="51">
        <f t="shared" si="13"/>
        <v>0.95214843750000011</v>
      </c>
      <c r="P34" s="51">
        <f t="shared" si="13"/>
        <v>1.2613932291666667</v>
      </c>
      <c r="Q34" s="51">
        <f t="shared" si="13"/>
        <v>2.0833333333333335</v>
      </c>
      <c r="R34" s="53"/>
      <c r="S34" s="46" t="s">
        <v>0</v>
      </c>
      <c r="T34" s="51" t="s">
        <v>0</v>
      </c>
      <c r="U34" s="51" t="s">
        <v>0</v>
      </c>
      <c r="V34" s="51" t="s">
        <v>0</v>
      </c>
      <c r="W34" s="51" t="s">
        <v>0</v>
      </c>
      <c r="X34" s="55">
        <f t="shared" si="14"/>
        <v>4.1015625000000002E-3</v>
      </c>
      <c r="Y34" s="55">
        <f t="shared" si="14"/>
        <v>8.2031250000000003E-3</v>
      </c>
      <c r="Z34" s="55">
        <f t="shared" si="14"/>
        <v>1.2304687500000001E-2</v>
      </c>
      <c r="AA34" s="55">
        <f t="shared" si="14"/>
        <v>3.0761718750000003E-3</v>
      </c>
      <c r="AB34" s="55">
        <f t="shared" si="14"/>
        <v>5.126953125E-3</v>
      </c>
      <c r="AC34" s="55">
        <f t="shared" si="14"/>
        <v>7.1777343749999997E-3</v>
      </c>
      <c r="AD34" s="55">
        <f t="shared" si="14"/>
        <v>1.3330078125E-2</v>
      </c>
      <c r="AE34" s="55">
        <f t="shared" si="14"/>
        <v>1.7659505208333332E-2</v>
      </c>
      <c r="AF34" s="55">
        <f t="shared" si="14"/>
        <v>2.9166666666666667E-2</v>
      </c>
    </row>
    <row r="35" spans="1:32" x14ac:dyDescent="0.25">
      <c r="A35" s="45">
        <v>6</v>
      </c>
      <c r="B35" s="46">
        <f t="shared" si="15"/>
        <v>960</v>
      </c>
      <c r="C35" s="859"/>
      <c r="D35" s="46" t="s">
        <v>0</v>
      </c>
      <c r="E35" s="51" t="s">
        <v>0</v>
      </c>
      <c r="F35" s="51" t="s">
        <v>0</v>
      </c>
      <c r="G35" s="51" t="s">
        <v>0</v>
      </c>
      <c r="H35" s="51" t="s">
        <v>0</v>
      </c>
      <c r="I35" s="51">
        <f t="shared" si="13"/>
        <v>0.146484375</v>
      </c>
      <c r="J35" s="51">
        <f t="shared" si="13"/>
        <v>0.29296875</v>
      </c>
      <c r="K35" s="51">
        <f t="shared" si="13"/>
        <v>0.43945312500000006</v>
      </c>
      <c r="L35" s="51">
        <f t="shared" si="13"/>
        <v>0.10986328125000001</v>
      </c>
      <c r="M35" s="51">
        <f t="shared" si="13"/>
        <v>0.18310546875</v>
      </c>
      <c r="N35" s="51">
        <f t="shared" si="13"/>
        <v>0.25634765625</v>
      </c>
      <c r="O35" s="51">
        <f t="shared" si="13"/>
        <v>0.47607421875000006</v>
      </c>
      <c r="P35" s="51">
        <f t="shared" si="13"/>
        <v>0.63069661458333337</v>
      </c>
      <c r="Q35" s="51">
        <f t="shared" si="13"/>
        <v>1.0416666666666667</v>
      </c>
      <c r="R35" s="53"/>
      <c r="S35" s="46" t="s">
        <v>0</v>
      </c>
      <c r="T35" s="51" t="s">
        <v>0</v>
      </c>
      <c r="U35" s="51" t="s">
        <v>0</v>
      </c>
      <c r="V35" s="51" t="s">
        <v>0</v>
      </c>
      <c r="W35" s="51" t="s">
        <v>0</v>
      </c>
      <c r="X35" s="55">
        <f t="shared" si="14"/>
        <v>2.0507812500000001E-3</v>
      </c>
      <c r="Y35" s="55">
        <f t="shared" si="14"/>
        <v>4.1015625000000002E-3</v>
      </c>
      <c r="Z35" s="55">
        <f t="shared" si="14"/>
        <v>6.1523437500000007E-3</v>
      </c>
      <c r="AA35" s="55">
        <f t="shared" si="14"/>
        <v>1.5380859375000002E-3</v>
      </c>
      <c r="AB35" s="55">
        <f t="shared" si="14"/>
        <v>2.5634765625E-3</v>
      </c>
      <c r="AC35" s="55">
        <f t="shared" si="14"/>
        <v>3.5888671874999998E-3</v>
      </c>
      <c r="AD35" s="55">
        <f t="shared" si="14"/>
        <v>6.6650390625000002E-3</v>
      </c>
      <c r="AE35" s="55">
        <f t="shared" si="14"/>
        <v>8.8297526041666661E-3</v>
      </c>
      <c r="AF35" s="55">
        <f t="shared" si="14"/>
        <v>1.4583333333333334E-2</v>
      </c>
    </row>
    <row r="37" spans="1:32" x14ac:dyDescent="0.25">
      <c r="E37" s="855" t="s">
        <v>78</v>
      </c>
      <c r="F37" s="855"/>
      <c r="G37" s="855"/>
      <c r="H37" s="855"/>
      <c r="I37" s="855"/>
      <c r="J37" s="855"/>
      <c r="K37" s="855"/>
      <c r="L37" s="855"/>
      <c r="M37" s="855"/>
      <c r="N37" s="855"/>
      <c r="O37" s="855"/>
      <c r="P37" s="855"/>
      <c r="Q37" s="855"/>
      <c r="T37" s="855" t="s">
        <v>157</v>
      </c>
      <c r="U37" s="855"/>
      <c r="V37" s="855"/>
      <c r="W37" s="855"/>
      <c r="X37" s="855"/>
      <c r="Y37" s="855"/>
      <c r="Z37" s="855"/>
      <c r="AA37" s="855"/>
      <c r="AB37" s="855"/>
      <c r="AC37" s="855"/>
      <c r="AD37" s="855"/>
      <c r="AE37" s="855"/>
      <c r="AF37" s="855"/>
    </row>
    <row r="38" spans="1:32" ht="30" x14ac:dyDescent="0.25">
      <c r="A38" s="63" t="s">
        <v>77</v>
      </c>
      <c r="B38" s="56" t="s">
        <v>71</v>
      </c>
      <c r="C38" s="56" t="s">
        <v>58</v>
      </c>
      <c r="D38" s="45" t="s">
        <v>63</v>
      </c>
      <c r="E38" s="47">
        <v>0</v>
      </c>
      <c r="F38" s="47">
        <v>1</v>
      </c>
      <c r="G38" s="47">
        <v>2</v>
      </c>
      <c r="H38" s="47">
        <v>3</v>
      </c>
      <c r="I38" s="45" t="s">
        <v>45</v>
      </c>
      <c r="J38" s="45" t="s">
        <v>61</v>
      </c>
      <c r="K38" s="45" t="s">
        <v>62</v>
      </c>
      <c r="L38" s="45" t="s">
        <v>64</v>
      </c>
      <c r="M38" s="45" t="s">
        <v>65</v>
      </c>
      <c r="N38" s="45" t="s">
        <v>66</v>
      </c>
      <c r="O38" s="45" t="s">
        <v>67</v>
      </c>
      <c r="P38" s="45" t="s">
        <v>68</v>
      </c>
      <c r="Q38" s="45" t="s">
        <v>69</v>
      </c>
      <c r="S38" s="45" t="s">
        <v>63</v>
      </c>
      <c r="T38" s="47">
        <v>0</v>
      </c>
      <c r="U38" s="47">
        <v>1</v>
      </c>
      <c r="V38" s="47">
        <v>2</v>
      </c>
      <c r="W38" s="47">
        <v>3</v>
      </c>
      <c r="X38" s="45" t="s">
        <v>45</v>
      </c>
      <c r="Y38" s="45" t="s">
        <v>61</v>
      </c>
      <c r="Z38" s="45" t="s">
        <v>62</v>
      </c>
      <c r="AA38" s="45" t="s">
        <v>64</v>
      </c>
      <c r="AB38" s="45" t="s">
        <v>65</v>
      </c>
      <c r="AC38" s="45" t="s">
        <v>66</v>
      </c>
      <c r="AD38" s="45" t="s">
        <v>67</v>
      </c>
      <c r="AE38" s="45" t="s">
        <v>68</v>
      </c>
      <c r="AF38" s="45" t="s">
        <v>69</v>
      </c>
    </row>
    <row r="39" spans="1:32" x14ac:dyDescent="0.25">
      <c r="A39" s="45" t="s">
        <v>0</v>
      </c>
      <c r="B39" s="46">
        <f>1.25</f>
        <v>1.25</v>
      </c>
      <c r="C39" s="46" t="s">
        <v>59</v>
      </c>
      <c r="D39" s="46" t="s">
        <v>0</v>
      </c>
      <c r="E39" s="16">
        <f>E16+E28</f>
        <v>903.125</v>
      </c>
      <c r="F39" s="16">
        <f>F16+F28</f>
        <v>2284.375</v>
      </c>
      <c r="G39" s="16">
        <f>G16+G28</f>
        <v>3352.6041666666665</v>
      </c>
      <c r="H39" s="51" t="s">
        <v>0</v>
      </c>
      <c r="I39" s="51" t="s">
        <v>0</v>
      </c>
      <c r="J39" s="51" t="s">
        <v>0</v>
      </c>
      <c r="K39" s="51" t="s">
        <v>0</v>
      </c>
      <c r="L39" s="51" t="s">
        <v>0</v>
      </c>
      <c r="M39" s="51" t="s">
        <v>0</v>
      </c>
      <c r="N39" s="51" t="s">
        <v>0</v>
      </c>
      <c r="O39" s="51" t="s">
        <v>0</v>
      </c>
      <c r="P39" s="51" t="s">
        <v>0</v>
      </c>
      <c r="Q39" s="51" t="s">
        <v>0</v>
      </c>
      <c r="R39" s="52"/>
      <c r="S39" s="46" t="s">
        <v>0</v>
      </c>
      <c r="T39" s="62">
        <f>T16+T28</f>
        <v>12.643749999999999</v>
      </c>
      <c r="U39" s="62">
        <f>U16+U28</f>
        <v>31.981249999999996</v>
      </c>
      <c r="V39" s="62">
        <f>V16+V28</f>
        <v>46.936458333333334</v>
      </c>
      <c r="W39" s="51" t="s">
        <v>0</v>
      </c>
      <c r="X39" s="51" t="s">
        <v>0</v>
      </c>
      <c r="Y39" s="51" t="s">
        <v>0</v>
      </c>
      <c r="Z39" s="51" t="s">
        <v>0</v>
      </c>
      <c r="AA39" s="51" t="s">
        <v>0</v>
      </c>
      <c r="AB39" s="51" t="s">
        <v>0</v>
      </c>
      <c r="AC39" s="51" t="s">
        <v>0</v>
      </c>
      <c r="AD39" s="51" t="s">
        <v>0</v>
      </c>
      <c r="AE39" s="51" t="s">
        <v>0</v>
      </c>
      <c r="AF39" s="51" t="s">
        <v>0</v>
      </c>
    </row>
    <row r="40" spans="1:32" x14ac:dyDescent="0.25">
      <c r="A40" s="45" t="s">
        <v>0</v>
      </c>
      <c r="B40" s="46">
        <v>5</v>
      </c>
      <c r="C40" s="46">
        <v>3</v>
      </c>
      <c r="D40" s="46" t="s">
        <v>0</v>
      </c>
      <c r="E40" s="51" t="s">
        <v>0</v>
      </c>
      <c r="F40" s="51" t="s">
        <v>0</v>
      </c>
      <c r="G40" s="51" t="s">
        <v>0</v>
      </c>
      <c r="H40" s="16">
        <f>H17+H29</f>
        <v>903.125</v>
      </c>
      <c r="I40" s="51" t="s">
        <v>0</v>
      </c>
      <c r="J40" s="51" t="s">
        <v>0</v>
      </c>
      <c r="K40" s="51" t="s">
        <v>0</v>
      </c>
      <c r="L40" s="51" t="s">
        <v>0</v>
      </c>
      <c r="M40" s="51" t="s">
        <v>0</v>
      </c>
      <c r="N40" s="51" t="s">
        <v>0</v>
      </c>
      <c r="O40" s="51" t="s">
        <v>0</v>
      </c>
      <c r="P40" s="51" t="s">
        <v>0</v>
      </c>
      <c r="Q40" s="51" t="s">
        <v>0</v>
      </c>
      <c r="R40" s="53"/>
      <c r="S40" s="46" t="s">
        <v>0</v>
      </c>
      <c r="T40" s="51" t="s">
        <v>0</v>
      </c>
      <c r="U40" s="51" t="s">
        <v>0</v>
      </c>
      <c r="V40" s="51" t="s">
        <v>0</v>
      </c>
      <c r="W40" s="62">
        <f>W17+W29</f>
        <v>12.643749999999999</v>
      </c>
      <c r="X40" s="51" t="s">
        <v>0</v>
      </c>
      <c r="Y40" s="51" t="s">
        <v>0</v>
      </c>
      <c r="Z40" s="51" t="s">
        <v>0</v>
      </c>
      <c r="AA40" s="51" t="s">
        <v>0</v>
      </c>
      <c r="AB40" s="51" t="s">
        <v>0</v>
      </c>
      <c r="AC40" s="51" t="s">
        <v>0</v>
      </c>
      <c r="AD40" s="51" t="s">
        <v>0</v>
      </c>
      <c r="AE40" s="51" t="s">
        <v>0</v>
      </c>
      <c r="AF40" s="51" t="s">
        <v>0</v>
      </c>
    </row>
    <row r="41" spans="1:32" x14ac:dyDescent="0.25">
      <c r="A41" s="45">
        <v>0</v>
      </c>
      <c r="B41" s="46">
        <f>15*2^A41</f>
        <v>15</v>
      </c>
      <c r="C41" s="857" t="s">
        <v>60</v>
      </c>
      <c r="D41" s="46" t="s">
        <v>0</v>
      </c>
      <c r="E41" s="51" t="s">
        <v>0</v>
      </c>
      <c r="F41" s="51" t="s">
        <v>0</v>
      </c>
      <c r="G41" s="51" t="s">
        <v>0</v>
      </c>
      <c r="H41" s="51" t="s">
        <v>0</v>
      </c>
      <c r="I41" s="16">
        <f t="shared" ref="I41:Q41" si="16">I18+I30</f>
        <v>142.70833333333334</v>
      </c>
      <c r="J41" s="16">
        <f t="shared" si="16"/>
        <v>285.41666666666669</v>
      </c>
      <c r="K41" s="16">
        <f t="shared" si="16"/>
        <v>428.125</v>
      </c>
      <c r="L41" s="16">
        <f t="shared" si="16"/>
        <v>140.36458333333334</v>
      </c>
      <c r="M41" s="16">
        <f t="shared" si="16"/>
        <v>278.38541666666669</v>
      </c>
      <c r="N41" s="16">
        <f t="shared" si="16"/>
        <v>416.40625</v>
      </c>
      <c r="O41" s="16">
        <f t="shared" si="16"/>
        <v>830.46875</v>
      </c>
      <c r="P41" s="16">
        <f t="shared" si="16"/>
        <v>107.03125</v>
      </c>
      <c r="Q41" s="16">
        <f t="shared" si="16"/>
        <v>333.33333333333337</v>
      </c>
      <c r="R41" s="53"/>
      <c r="S41" s="46" t="s">
        <v>0</v>
      </c>
      <c r="T41" s="51" t="s">
        <v>0</v>
      </c>
      <c r="U41" s="51" t="s">
        <v>0</v>
      </c>
      <c r="V41" s="51" t="s">
        <v>0</v>
      </c>
      <c r="W41" s="51" t="s">
        <v>0</v>
      </c>
      <c r="X41" s="60">
        <f t="shared" ref="X41:AF41" si="17">X18+X30</f>
        <v>1.9979166666666668</v>
      </c>
      <c r="Y41" s="60">
        <f t="shared" si="17"/>
        <v>3.9958333333333336</v>
      </c>
      <c r="Z41" s="60">
        <f t="shared" si="17"/>
        <v>5.9937499999999995</v>
      </c>
      <c r="AA41" s="60">
        <f t="shared" si="17"/>
        <v>1.9651041666666667</v>
      </c>
      <c r="AB41" s="60">
        <f t="shared" si="17"/>
        <v>3.8973958333333334</v>
      </c>
      <c r="AC41" s="60">
        <f t="shared" si="17"/>
        <v>5.8296874999999995</v>
      </c>
      <c r="AD41" s="60">
        <f t="shared" si="17"/>
        <v>11.626562499999999</v>
      </c>
      <c r="AE41" s="60">
        <f t="shared" si="17"/>
        <v>1.4984375000000001</v>
      </c>
      <c r="AF41" s="60">
        <f t="shared" si="17"/>
        <v>4.666666666666667</v>
      </c>
    </row>
    <row r="42" spans="1:32" x14ac:dyDescent="0.25">
      <c r="A42" s="45">
        <v>1</v>
      </c>
      <c r="B42" s="46">
        <f t="shared" ref="B42:B46" si="18">15*2^A42</f>
        <v>30</v>
      </c>
      <c r="C42" s="858"/>
      <c r="D42" s="46" t="s">
        <v>0</v>
      </c>
      <c r="E42" s="51" t="s">
        <v>0</v>
      </c>
      <c r="F42" s="51" t="s">
        <v>0</v>
      </c>
      <c r="G42" s="51" t="s">
        <v>0</v>
      </c>
      <c r="H42" s="51" t="s">
        <v>0</v>
      </c>
      <c r="I42" s="16">
        <f t="shared" ref="I42:Q42" si="19">I19+I31</f>
        <v>71.354166666666671</v>
      </c>
      <c r="J42" s="16">
        <f t="shared" si="19"/>
        <v>142.70833333333334</v>
      </c>
      <c r="K42" s="16">
        <f t="shared" si="19"/>
        <v>214.0625</v>
      </c>
      <c r="L42" s="16">
        <f t="shared" si="19"/>
        <v>70.182291666666671</v>
      </c>
      <c r="M42" s="16">
        <f t="shared" si="19"/>
        <v>139.19270833333334</v>
      </c>
      <c r="N42" s="16">
        <f t="shared" si="19"/>
        <v>208.203125</v>
      </c>
      <c r="O42" s="16">
        <f t="shared" si="19"/>
        <v>415.234375</v>
      </c>
      <c r="P42" s="16">
        <f t="shared" si="19"/>
        <v>53.515625</v>
      </c>
      <c r="Q42" s="16">
        <f t="shared" si="19"/>
        <v>166.66666666666669</v>
      </c>
      <c r="R42" s="53"/>
      <c r="S42" s="46" t="s">
        <v>0</v>
      </c>
      <c r="T42" s="51" t="s">
        <v>0</v>
      </c>
      <c r="U42" s="51" t="s">
        <v>0</v>
      </c>
      <c r="V42" s="51" t="s">
        <v>0</v>
      </c>
      <c r="W42" s="51" t="s">
        <v>0</v>
      </c>
      <c r="X42" s="51">
        <f t="shared" ref="X42:AF42" si="20">X19+X31</f>
        <v>0.99895833333333339</v>
      </c>
      <c r="Y42" s="51">
        <f t="shared" si="20"/>
        <v>1.9979166666666668</v>
      </c>
      <c r="Z42" s="51">
        <f t="shared" si="20"/>
        <v>2.9968749999999997</v>
      </c>
      <c r="AA42" s="51">
        <f t="shared" si="20"/>
        <v>0.98255208333333333</v>
      </c>
      <c r="AB42" s="51">
        <f t="shared" si="20"/>
        <v>1.9486979166666667</v>
      </c>
      <c r="AC42" s="51">
        <f t="shared" si="20"/>
        <v>2.9148437499999997</v>
      </c>
      <c r="AD42" s="51">
        <f t="shared" si="20"/>
        <v>5.8132812499999993</v>
      </c>
      <c r="AE42" s="51">
        <f t="shared" si="20"/>
        <v>0.74921875000000004</v>
      </c>
      <c r="AF42" s="51">
        <f t="shared" si="20"/>
        <v>2.3333333333333335</v>
      </c>
    </row>
    <row r="43" spans="1:32" x14ac:dyDescent="0.25">
      <c r="A43" s="45">
        <v>2</v>
      </c>
      <c r="B43" s="46">
        <f t="shared" si="18"/>
        <v>60</v>
      </c>
      <c r="C43" s="858"/>
      <c r="D43" s="46" t="s">
        <v>0</v>
      </c>
      <c r="E43" s="51" t="s">
        <v>0</v>
      </c>
      <c r="F43" s="51" t="s">
        <v>0</v>
      </c>
      <c r="G43" s="51" t="s">
        <v>0</v>
      </c>
      <c r="H43" s="51" t="s">
        <v>0</v>
      </c>
      <c r="I43" s="51">
        <f t="shared" ref="I43:Q43" si="21">I20+I32</f>
        <v>35.677083333333336</v>
      </c>
      <c r="J43" s="51">
        <f t="shared" si="21"/>
        <v>71.354166666666671</v>
      </c>
      <c r="K43" s="51">
        <f t="shared" si="21"/>
        <v>107.03125</v>
      </c>
      <c r="L43" s="51">
        <f t="shared" si="21"/>
        <v>35.091145833333336</v>
      </c>
      <c r="M43" s="51">
        <f t="shared" si="21"/>
        <v>69.596354166666671</v>
      </c>
      <c r="N43" s="51">
        <f t="shared" si="21"/>
        <v>104.1015625</v>
      </c>
      <c r="O43" s="51">
        <f t="shared" si="21"/>
        <v>207.6171875</v>
      </c>
      <c r="P43" s="51">
        <f t="shared" si="21"/>
        <v>26.7578125</v>
      </c>
      <c r="Q43" s="51">
        <f t="shared" si="21"/>
        <v>83.333333333333343</v>
      </c>
      <c r="R43" s="53"/>
      <c r="S43" s="46" t="s">
        <v>0</v>
      </c>
      <c r="T43" s="51" t="s">
        <v>0</v>
      </c>
      <c r="U43" s="51" t="s">
        <v>0</v>
      </c>
      <c r="V43" s="51" t="s">
        <v>0</v>
      </c>
      <c r="W43" s="51" t="s">
        <v>0</v>
      </c>
      <c r="X43" s="55">
        <f t="shared" ref="X43:AF43" si="22">X20+X32</f>
        <v>0.4994791666666667</v>
      </c>
      <c r="Y43" s="55">
        <f t="shared" si="22"/>
        <v>0.99895833333333339</v>
      </c>
      <c r="Z43" s="55">
        <f t="shared" si="22"/>
        <v>1.4984374999999999</v>
      </c>
      <c r="AA43" s="55">
        <f t="shared" si="22"/>
        <v>0.49127604166666666</v>
      </c>
      <c r="AB43" s="55">
        <f t="shared" si="22"/>
        <v>0.97434895833333335</v>
      </c>
      <c r="AC43" s="55">
        <f t="shared" si="22"/>
        <v>1.4574218749999999</v>
      </c>
      <c r="AD43" s="55">
        <f t="shared" si="22"/>
        <v>2.9066406249999996</v>
      </c>
      <c r="AE43" s="55">
        <f t="shared" si="22"/>
        <v>0.37460937500000002</v>
      </c>
      <c r="AF43" s="55">
        <f t="shared" si="22"/>
        <v>1.1666666666666667</v>
      </c>
    </row>
    <row r="44" spans="1:32" x14ac:dyDescent="0.25">
      <c r="A44" s="45">
        <v>3</v>
      </c>
      <c r="B44" s="46">
        <f t="shared" si="18"/>
        <v>120</v>
      </c>
      <c r="C44" s="858"/>
      <c r="D44" s="46" t="s">
        <v>0</v>
      </c>
      <c r="E44" s="51" t="s">
        <v>0</v>
      </c>
      <c r="F44" s="51" t="s">
        <v>0</v>
      </c>
      <c r="G44" s="51" t="s">
        <v>0</v>
      </c>
      <c r="H44" s="51" t="s">
        <v>0</v>
      </c>
      <c r="I44" s="51">
        <f t="shared" ref="I44:Q44" si="23">I21+I33</f>
        <v>17.838541666666668</v>
      </c>
      <c r="J44" s="51">
        <f t="shared" si="23"/>
        <v>35.677083333333336</v>
      </c>
      <c r="K44" s="51">
        <f t="shared" si="23"/>
        <v>53.515625</v>
      </c>
      <c r="L44" s="51">
        <f t="shared" si="23"/>
        <v>17.545572916666668</v>
      </c>
      <c r="M44" s="51">
        <f t="shared" si="23"/>
        <v>34.798177083333336</v>
      </c>
      <c r="N44" s="51">
        <f t="shared" si="23"/>
        <v>52.05078125</v>
      </c>
      <c r="O44" s="51">
        <f t="shared" si="23"/>
        <v>103.80859375</v>
      </c>
      <c r="P44" s="51">
        <f t="shared" si="23"/>
        <v>13.37890625</v>
      </c>
      <c r="Q44" s="51">
        <f t="shared" si="23"/>
        <v>41.666666666666671</v>
      </c>
      <c r="R44" s="53"/>
      <c r="S44" s="46" t="s">
        <v>0</v>
      </c>
      <c r="T44" s="51" t="s">
        <v>0</v>
      </c>
      <c r="U44" s="51" t="s">
        <v>0</v>
      </c>
      <c r="V44" s="51" t="s">
        <v>0</v>
      </c>
      <c r="W44" s="51" t="s">
        <v>0</v>
      </c>
      <c r="X44" s="55">
        <f t="shared" ref="X44:AF44" si="24">X21+X33</f>
        <v>0.24973958333333335</v>
      </c>
      <c r="Y44" s="55">
        <f t="shared" si="24"/>
        <v>0.4994791666666667</v>
      </c>
      <c r="Z44" s="55">
        <f t="shared" si="24"/>
        <v>0.74921874999999993</v>
      </c>
      <c r="AA44" s="55">
        <f t="shared" si="24"/>
        <v>0.24563802083333333</v>
      </c>
      <c r="AB44" s="55">
        <f t="shared" si="24"/>
        <v>0.48717447916666667</v>
      </c>
      <c r="AC44" s="55">
        <f t="shared" si="24"/>
        <v>0.72871093749999993</v>
      </c>
      <c r="AD44" s="55">
        <f t="shared" si="24"/>
        <v>1.4533203124999998</v>
      </c>
      <c r="AE44" s="55">
        <f t="shared" si="24"/>
        <v>0.18730468750000001</v>
      </c>
      <c r="AF44" s="55">
        <f t="shared" si="24"/>
        <v>0.58333333333333337</v>
      </c>
    </row>
    <row r="45" spans="1:32" x14ac:dyDescent="0.25">
      <c r="A45" s="45">
        <v>5</v>
      </c>
      <c r="B45" s="46">
        <f t="shared" si="18"/>
        <v>480</v>
      </c>
      <c r="C45" s="858"/>
      <c r="D45" s="46" t="s">
        <v>0</v>
      </c>
      <c r="E45" s="51" t="s">
        <v>0</v>
      </c>
      <c r="F45" s="51" t="s">
        <v>0</v>
      </c>
      <c r="G45" s="51" t="s">
        <v>0</v>
      </c>
      <c r="H45" s="51" t="s">
        <v>0</v>
      </c>
      <c r="I45" s="51">
        <f t="shared" ref="I45:Q45" si="25">I22+I34</f>
        <v>4.459635416666667</v>
      </c>
      <c r="J45" s="51">
        <f t="shared" si="25"/>
        <v>8.9192708333333339</v>
      </c>
      <c r="K45" s="51">
        <f t="shared" si="25"/>
        <v>13.37890625</v>
      </c>
      <c r="L45" s="51">
        <f t="shared" si="25"/>
        <v>4.386393229166667</v>
      </c>
      <c r="M45" s="51">
        <f t="shared" si="25"/>
        <v>8.6995442708333339</v>
      </c>
      <c r="N45" s="51">
        <f t="shared" si="25"/>
        <v>13.0126953125</v>
      </c>
      <c r="O45" s="51">
        <f t="shared" si="25"/>
        <v>25.9521484375</v>
      </c>
      <c r="P45" s="51">
        <f t="shared" si="25"/>
        <v>3.3447265625</v>
      </c>
      <c r="Q45" s="51">
        <f t="shared" si="25"/>
        <v>10.416666666666668</v>
      </c>
      <c r="R45" s="53"/>
      <c r="S45" s="46" t="s">
        <v>0</v>
      </c>
      <c r="T45" s="51" t="s">
        <v>0</v>
      </c>
      <c r="U45" s="51" t="s">
        <v>0</v>
      </c>
      <c r="V45" s="51" t="s">
        <v>0</v>
      </c>
      <c r="W45" s="51" t="s">
        <v>0</v>
      </c>
      <c r="X45" s="55">
        <f t="shared" ref="X45:AF45" si="26">X22+X34</f>
        <v>6.2434895833333337E-2</v>
      </c>
      <c r="Y45" s="55">
        <f t="shared" si="26"/>
        <v>0.12486979166666667</v>
      </c>
      <c r="Z45" s="55">
        <f t="shared" si="26"/>
        <v>0.18730468749999998</v>
      </c>
      <c r="AA45" s="55">
        <f t="shared" si="26"/>
        <v>6.1409505208333333E-2</v>
      </c>
      <c r="AB45" s="55">
        <f t="shared" si="26"/>
        <v>0.12179361979166667</v>
      </c>
      <c r="AC45" s="55">
        <f t="shared" si="26"/>
        <v>0.18217773437499998</v>
      </c>
      <c r="AD45" s="55">
        <f t="shared" si="26"/>
        <v>0.36333007812499996</v>
      </c>
      <c r="AE45" s="55">
        <f t="shared" si="26"/>
        <v>4.6826171875000003E-2</v>
      </c>
      <c r="AF45" s="55">
        <f t="shared" si="26"/>
        <v>0.14583333333333334</v>
      </c>
    </row>
    <row r="46" spans="1:32" x14ac:dyDescent="0.25">
      <c r="A46" s="45">
        <v>6</v>
      </c>
      <c r="B46" s="46">
        <f t="shared" si="18"/>
        <v>960</v>
      </c>
      <c r="C46" s="859"/>
      <c r="D46" s="46" t="s">
        <v>0</v>
      </c>
      <c r="E46" s="51" t="s">
        <v>0</v>
      </c>
      <c r="F46" s="51" t="s">
        <v>0</v>
      </c>
      <c r="G46" s="51" t="s">
        <v>0</v>
      </c>
      <c r="H46" s="51" t="s">
        <v>0</v>
      </c>
      <c r="I46" s="51">
        <f t="shared" ref="I46:Q46" si="27">I23+I35</f>
        <v>2.2298177083333335</v>
      </c>
      <c r="J46" s="51">
        <f t="shared" si="27"/>
        <v>4.459635416666667</v>
      </c>
      <c r="K46" s="51">
        <f t="shared" si="27"/>
        <v>6.689453125</v>
      </c>
      <c r="L46" s="51">
        <f t="shared" si="27"/>
        <v>2.1931966145833335</v>
      </c>
      <c r="M46" s="51">
        <f t="shared" si="27"/>
        <v>4.349772135416667</v>
      </c>
      <c r="N46" s="51">
        <f t="shared" si="27"/>
        <v>6.50634765625</v>
      </c>
      <c r="O46" s="51">
        <f t="shared" si="27"/>
        <v>12.97607421875</v>
      </c>
      <c r="P46" s="51">
        <f t="shared" si="27"/>
        <v>1.67236328125</v>
      </c>
      <c r="Q46" s="51">
        <f t="shared" si="27"/>
        <v>5.2083333333333339</v>
      </c>
      <c r="R46" s="53"/>
      <c r="S46" s="46" t="s">
        <v>0</v>
      </c>
      <c r="T46" s="51" t="s">
        <v>0</v>
      </c>
      <c r="U46" s="51" t="s">
        <v>0</v>
      </c>
      <c r="V46" s="51" t="s">
        <v>0</v>
      </c>
      <c r="W46" s="51" t="s">
        <v>0</v>
      </c>
      <c r="X46" s="55">
        <f t="shared" ref="X46:AF46" si="28">X23+X35</f>
        <v>3.1217447916666669E-2</v>
      </c>
      <c r="Y46" s="55">
        <f t="shared" si="28"/>
        <v>6.2434895833333337E-2</v>
      </c>
      <c r="Z46" s="55">
        <f t="shared" si="28"/>
        <v>9.3652343749999992E-2</v>
      </c>
      <c r="AA46" s="55">
        <f t="shared" si="28"/>
        <v>3.0704752604166666E-2</v>
      </c>
      <c r="AB46" s="55">
        <f t="shared" si="28"/>
        <v>6.0896809895833334E-2</v>
      </c>
      <c r="AC46" s="55">
        <f t="shared" si="28"/>
        <v>9.1088867187499992E-2</v>
      </c>
      <c r="AD46" s="55">
        <f t="shared" si="28"/>
        <v>0.18166503906249998</v>
      </c>
      <c r="AE46" s="55">
        <f t="shared" si="28"/>
        <v>2.3413085937500001E-2</v>
      </c>
      <c r="AF46" s="55">
        <f t="shared" si="28"/>
        <v>7.2916666666666671E-2</v>
      </c>
    </row>
    <row r="47" spans="1:32" x14ac:dyDescent="0.25">
      <c r="R47" s="53"/>
    </row>
    <row r="48" spans="1:32" x14ac:dyDescent="0.25">
      <c r="A48" s="64" t="s">
        <v>81</v>
      </c>
      <c r="B48" s="65"/>
      <c r="C48" s="65"/>
      <c r="D48" s="65"/>
      <c r="E48" s="65"/>
      <c r="F48" s="65"/>
      <c r="G48" s="65"/>
      <c r="R48" s="53"/>
    </row>
    <row r="49" spans="1:32" x14ac:dyDescent="0.25">
      <c r="E49" s="855" t="s">
        <v>82</v>
      </c>
      <c r="F49" s="855"/>
      <c r="G49" s="855"/>
      <c r="H49" s="855"/>
      <c r="I49" s="855"/>
      <c r="J49" s="855"/>
      <c r="K49" s="855"/>
      <c r="L49" s="855"/>
      <c r="M49" s="855"/>
      <c r="N49" s="855"/>
      <c r="O49" s="855"/>
      <c r="P49" s="855"/>
      <c r="Q49" s="855"/>
      <c r="R49" s="53"/>
      <c r="T49" s="855" t="s">
        <v>158</v>
      </c>
      <c r="U49" s="855"/>
      <c r="V49" s="855"/>
      <c r="W49" s="855"/>
      <c r="X49" s="855"/>
      <c r="Y49" s="855"/>
      <c r="Z49" s="855"/>
      <c r="AA49" s="855"/>
      <c r="AB49" s="855"/>
      <c r="AC49" s="855"/>
      <c r="AD49" s="855"/>
      <c r="AE49" s="855"/>
      <c r="AF49" s="855"/>
    </row>
    <row r="50" spans="1:32" x14ac:dyDescent="0.25">
      <c r="A50" s="866" t="s">
        <v>77</v>
      </c>
      <c r="B50" s="863" t="s">
        <v>71</v>
      </c>
      <c r="C50" s="863" t="s">
        <v>58</v>
      </c>
      <c r="D50" s="45" t="s">
        <v>63</v>
      </c>
      <c r="E50" s="47">
        <v>0</v>
      </c>
      <c r="F50" s="47">
        <v>1</v>
      </c>
      <c r="G50" s="47">
        <v>2</v>
      </c>
      <c r="H50" s="47">
        <v>3</v>
      </c>
      <c r="I50" s="45" t="s">
        <v>45</v>
      </c>
      <c r="J50" s="45" t="s">
        <v>61</v>
      </c>
      <c r="K50" s="45" t="s">
        <v>62</v>
      </c>
      <c r="L50" s="45" t="s">
        <v>64</v>
      </c>
      <c r="M50" s="45" t="s">
        <v>65</v>
      </c>
      <c r="N50" s="45" t="s">
        <v>66</v>
      </c>
      <c r="O50" s="45" t="s">
        <v>67</v>
      </c>
      <c r="P50" s="45" t="s">
        <v>68</v>
      </c>
      <c r="Q50" s="45" t="s">
        <v>69</v>
      </c>
      <c r="R50" s="53"/>
      <c r="S50" s="45" t="s">
        <v>63</v>
      </c>
      <c r="T50" s="47">
        <v>0</v>
      </c>
      <c r="U50" s="47">
        <v>1</v>
      </c>
      <c r="V50" s="47">
        <v>2</v>
      </c>
      <c r="W50" s="47">
        <v>3</v>
      </c>
      <c r="X50" s="45" t="s">
        <v>45</v>
      </c>
      <c r="Y50" s="45" t="s">
        <v>61</v>
      </c>
      <c r="Z50" s="45" t="s">
        <v>62</v>
      </c>
      <c r="AA50" s="45" t="s">
        <v>64</v>
      </c>
      <c r="AB50" s="45" t="s">
        <v>65</v>
      </c>
      <c r="AC50" s="45" t="s">
        <v>66</v>
      </c>
      <c r="AD50" s="45" t="s">
        <v>67</v>
      </c>
      <c r="AE50" s="45" t="s">
        <v>68</v>
      </c>
      <c r="AF50" s="45" t="s">
        <v>69</v>
      </c>
    </row>
    <row r="51" spans="1:32" ht="30" x14ac:dyDescent="0.25">
      <c r="A51" s="864"/>
      <c r="B51" s="864"/>
      <c r="C51" s="865"/>
      <c r="D51" s="47" t="s">
        <v>108</v>
      </c>
      <c r="E51" s="54">
        <v>2976</v>
      </c>
      <c r="F51" s="54">
        <v>21984</v>
      </c>
      <c r="G51" s="54">
        <v>29264</v>
      </c>
      <c r="H51" s="54">
        <v>2976</v>
      </c>
      <c r="I51" s="54">
        <v>0</v>
      </c>
      <c r="J51" s="54">
        <v>0</v>
      </c>
      <c r="K51" s="54">
        <v>0</v>
      </c>
      <c r="L51" s="54">
        <v>72</v>
      </c>
      <c r="M51" s="54">
        <v>216</v>
      </c>
      <c r="N51" s="54">
        <v>360</v>
      </c>
      <c r="O51" s="54">
        <v>792</v>
      </c>
      <c r="P51" s="54">
        <v>1096</v>
      </c>
      <c r="Q51" s="54">
        <v>2912</v>
      </c>
      <c r="R51" s="53"/>
      <c r="S51" s="47"/>
      <c r="T51" s="54"/>
      <c r="U51" s="54"/>
      <c r="V51" s="54"/>
      <c r="W51" s="54"/>
      <c r="X51" s="54"/>
      <c r="Y51" s="54"/>
      <c r="Z51" s="54"/>
      <c r="AA51" s="54"/>
      <c r="AB51" s="54"/>
      <c r="AC51" s="54"/>
      <c r="AD51" s="54"/>
      <c r="AE51" s="54"/>
      <c r="AF51" s="54"/>
    </row>
    <row r="52" spans="1:32" x14ac:dyDescent="0.25">
      <c r="A52" s="45" t="s">
        <v>0</v>
      </c>
      <c r="B52" s="46">
        <f>1.25</f>
        <v>1.25</v>
      </c>
      <c r="C52" s="46" t="s">
        <v>59</v>
      </c>
      <c r="D52" s="46" t="s">
        <v>0</v>
      </c>
      <c r="E52" s="16">
        <f>E$51*$D$88</f>
        <v>96.875</v>
      </c>
      <c r="F52" s="16">
        <f>F$51*$D$88</f>
        <v>715.625</v>
      </c>
      <c r="G52" s="16">
        <f>G$51*$D$88</f>
        <v>952.60416666666674</v>
      </c>
      <c r="H52" s="51" t="s">
        <v>0</v>
      </c>
      <c r="I52" s="51" t="s">
        <v>0</v>
      </c>
      <c r="J52" s="51" t="s">
        <v>0</v>
      </c>
      <c r="K52" s="51" t="s">
        <v>0</v>
      </c>
      <c r="L52" s="51" t="s">
        <v>0</v>
      </c>
      <c r="M52" s="51" t="s">
        <v>0</v>
      </c>
      <c r="N52" s="51" t="s">
        <v>0</v>
      </c>
      <c r="O52" s="51" t="s">
        <v>0</v>
      </c>
      <c r="P52" s="51" t="s">
        <v>0</v>
      </c>
      <c r="Q52" s="51" t="s">
        <v>0</v>
      </c>
      <c r="R52" s="53"/>
      <c r="S52" s="46" t="s">
        <v>0</v>
      </c>
      <c r="T52" s="60">
        <f>E52/$D$93</f>
        <v>1.35625</v>
      </c>
      <c r="U52" s="60">
        <f>F52/$D$93</f>
        <v>10.018749999999999</v>
      </c>
      <c r="V52" s="60">
        <f>G52/$D$93</f>
        <v>13.336458333333335</v>
      </c>
      <c r="W52" s="51" t="s">
        <v>0</v>
      </c>
      <c r="X52" s="51" t="s">
        <v>0</v>
      </c>
      <c r="Y52" s="51" t="s">
        <v>0</v>
      </c>
      <c r="Z52" s="51" t="s">
        <v>0</v>
      </c>
      <c r="AA52" s="51" t="s">
        <v>0</v>
      </c>
      <c r="AB52" s="51" t="s">
        <v>0</v>
      </c>
      <c r="AC52" s="51" t="s">
        <v>0</v>
      </c>
      <c r="AD52" s="51" t="s">
        <v>0</v>
      </c>
      <c r="AE52" s="51" t="s">
        <v>0</v>
      </c>
      <c r="AF52" s="51" t="s">
        <v>0</v>
      </c>
    </row>
    <row r="53" spans="1:32" x14ac:dyDescent="0.25">
      <c r="A53" s="45" t="s">
        <v>0</v>
      </c>
      <c r="B53" s="46">
        <v>5</v>
      </c>
      <c r="C53" s="46">
        <v>3</v>
      </c>
      <c r="D53" s="46" t="s">
        <v>0</v>
      </c>
      <c r="E53" s="51" t="s">
        <v>0</v>
      </c>
      <c r="F53" s="51" t="s">
        <v>0</v>
      </c>
      <c r="G53" s="51" t="s">
        <v>0</v>
      </c>
      <c r="H53" s="16">
        <f>H$51*$D$88</f>
        <v>96.875</v>
      </c>
      <c r="I53" s="51" t="s">
        <v>0</v>
      </c>
      <c r="J53" s="51" t="s">
        <v>0</v>
      </c>
      <c r="K53" s="51" t="s">
        <v>0</v>
      </c>
      <c r="L53" s="51" t="s">
        <v>0</v>
      </c>
      <c r="M53" s="51" t="s">
        <v>0</v>
      </c>
      <c r="N53" s="51" t="s">
        <v>0</v>
      </c>
      <c r="O53" s="51" t="s">
        <v>0</v>
      </c>
      <c r="P53" s="51" t="s">
        <v>0</v>
      </c>
      <c r="Q53" s="51" t="s">
        <v>0</v>
      </c>
      <c r="R53" s="53"/>
      <c r="S53" s="46" t="s">
        <v>0</v>
      </c>
      <c r="T53" s="51" t="s">
        <v>0</v>
      </c>
      <c r="U53" s="51" t="s">
        <v>0</v>
      </c>
      <c r="V53" s="51" t="s">
        <v>0</v>
      </c>
      <c r="W53" s="60">
        <f>H53/$D$93</f>
        <v>1.35625</v>
      </c>
      <c r="X53" s="51" t="s">
        <v>0</v>
      </c>
      <c r="Y53" s="51" t="s">
        <v>0</v>
      </c>
      <c r="Z53" s="51" t="s">
        <v>0</v>
      </c>
      <c r="AA53" s="51" t="s">
        <v>0</v>
      </c>
      <c r="AB53" s="51" t="s">
        <v>0</v>
      </c>
      <c r="AC53" s="51" t="s">
        <v>0</v>
      </c>
      <c r="AD53" s="51" t="s">
        <v>0</v>
      </c>
      <c r="AE53" s="51" t="s">
        <v>0</v>
      </c>
      <c r="AF53" s="51" t="s">
        <v>0</v>
      </c>
    </row>
    <row r="54" spans="1:32" x14ac:dyDescent="0.25">
      <c r="A54" s="45">
        <v>0</v>
      </c>
      <c r="B54" s="46">
        <f>15*2^A54</f>
        <v>15</v>
      </c>
      <c r="C54" s="857" t="s">
        <v>60</v>
      </c>
      <c r="D54" s="46" t="s">
        <v>0</v>
      </c>
      <c r="E54" s="51" t="s">
        <v>0</v>
      </c>
      <c r="F54" s="51" t="s">
        <v>0</v>
      </c>
      <c r="G54" s="51" t="s">
        <v>0</v>
      </c>
      <c r="H54" s="51" t="s">
        <v>0</v>
      </c>
      <c r="I54" s="16">
        <f t="shared" ref="I54:Q59" si="29">I$51*$D$88*2^-$A54</f>
        <v>0</v>
      </c>
      <c r="J54" s="16">
        <f t="shared" si="29"/>
        <v>0</v>
      </c>
      <c r="K54" s="16">
        <f t="shared" si="29"/>
        <v>0</v>
      </c>
      <c r="L54" s="16">
        <f t="shared" si="29"/>
        <v>2.34375</v>
      </c>
      <c r="M54" s="16">
        <f t="shared" si="29"/>
        <v>7.0312500000000009</v>
      </c>
      <c r="N54" s="16">
        <f t="shared" si="29"/>
        <v>11.71875</v>
      </c>
      <c r="O54" s="16">
        <f t="shared" si="29"/>
        <v>25.781250000000004</v>
      </c>
      <c r="P54" s="16">
        <f t="shared" si="29"/>
        <v>35.677083333333336</v>
      </c>
      <c r="Q54" s="16">
        <f t="shared" si="29"/>
        <v>94.791666666666671</v>
      </c>
      <c r="R54" s="53"/>
      <c r="S54" s="46" t="s">
        <v>0</v>
      </c>
      <c r="T54" s="51" t="s">
        <v>0</v>
      </c>
      <c r="U54" s="51" t="s">
        <v>0</v>
      </c>
      <c r="V54" s="51" t="s">
        <v>0</v>
      </c>
      <c r="W54" s="51" t="s">
        <v>0</v>
      </c>
      <c r="X54" s="60">
        <f t="shared" ref="X54:AF59" si="30">I54/$D$93</f>
        <v>0</v>
      </c>
      <c r="Y54" s="60">
        <f t="shared" si="30"/>
        <v>0</v>
      </c>
      <c r="Z54" s="60">
        <f t="shared" si="30"/>
        <v>0</v>
      </c>
      <c r="AA54" s="60">
        <f t="shared" si="30"/>
        <v>3.2812500000000001E-2</v>
      </c>
      <c r="AB54" s="60">
        <f t="shared" si="30"/>
        <v>9.8437500000000011E-2</v>
      </c>
      <c r="AC54" s="60">
        <f t="shared" si="30"/>
        <v>0.1640625</v>
      </c>
      <c r="AD54" s="60">
        <f t="shared" si="30"/>
        <v>0.36093750000000002</v>
      </c>
      <c r="AE54" s="60">
        <f t="shared" si="30"/>
        <v>0.4994791666666667</v>
      </c>
      <c r="AF54" s="60">
        <f t="shared" si="30"/>
        <v>1.3270833333333334</v>
      </c>
    </row>
    <row r="55" spans="1:32" x14ac:dyDescent="0.25">
      <c r="A55" s="45">
        <v>1</v>
      </c>
      <c r="B55" s="46">
        <f t="shared" ref="B55:B59" si="31">15*2^A55</f>
        <v>30</v>
      </c>
      <c r="C55" s="858"/>
      <c r="D55" s="46" t="s">
        <v>0</v>
      </c>
      <c r="E55" s="51" t="s">
        <v>0</v>
      </c>
      <c r="F55" s="51" t="s">
        <v>0</v>
      </c>
      <c r="G55" s="51" t="s">
        <v>0</v>
      </c>
      <c r="H55" s="51" t="s">
        <v>0</v>
      </c>
      <c r="I55" s="16">
        <f t="shared" si="29"/>
        <v>0</v>
      </c>
      <c r="J55" s="16">
        <f t="shared" si="29"/>
        <v>0</v>
      </c>
      <c r="K55" s="16">
        <f t="shared" si="29"/>
        <v>0</v>
      </c>
      <c r="L55" s="16">
        <f t="shared" si="29"/>
        <v>1.171875</v>
      </c>
      <c r="M55" s="16">
        <f t="shared" si="29"/>
        <v>3.5156250000000004</v>
      </c>
      <c r="N55" s="16">
        <f t="shared" si="29"/>
        <v>5.859375</v>
      </c>
      <c r="O55" s="16">
        <f t="shared" si="29"/>
        <v>12.890625000000002</v>
      </c>
      <c r="P55" s="16">
        <f t="shared" si="29"/>
        <v>17.838541666666668</v>
      </c>
      <c r="Q55" s="16">
        <f t="shared" si="29"/>
        <v>47.395833333333336</v>
      </c>
      <c r="R55" s="53"/>
      <c r="S55" s="46" t="s">
        <v>0</v>
      </c>
      <c r="T55" s="51" t="s">
        <v>0</v>
      </c>
      <c r="U55" s="51" t="s">
        <v>0</v>
      </c>
      <c r="V55" s="51" t="s">
        <v>0</v>
      </c>
      <c r="W55" s="51" t="s">
        <v>0</v>
      </c>
      <c r="X55" s="51">
        <f t="shared" si="30"/>
        <v>0</v>
      </c>
      <c r="Y55" s="51">
        <f t="shared" si="30"/>
        <v>0</v>
      </c>
      <c r="Z55" s="51">
        <f t="shared" si="30"/>
        <v>0</v>
      </c>
      <c r="AA55" s="51">
        <f t="shared" si="30"/>
        <v>1.6406250000000001E-2</v>
      </c>
      <c r="AB55" s="51">
        <f t="shared" si="30"/>
        <v>4.9218750000000006E-2</v>
      </c>
      <c r="AC55" s="51">
        <f t="shared" si="30"/>
        <v>8.203125E-2</v>
      </c>
      <c r="AD55" s="51">
        <f t="shared" si="30"/>
        <v>0.18046875000000001</v>
      </c>
      <c r="AE55" s="51">
        <f t="shared" si="30"/>
        <v>0.24973958333333335</v>
      </c>
      <c r="AF55" s="51">
        <f t="shared" si="30"/>
        <v>0.6635416666666667</v>
      </c>
    </row>
    <row r="56" spans="1:32" x14ac:dyDescent="0.25">
      <c r="A56" s="45">
        <v>2</v>
      </c>
      <c r="B56" s="46">
        <f t="shared" si="31"/>
        <v>60</v>
      </c>
      <c r="C56" s="858"/>
      <c r="D56" s="46" t="s">
        <v>0</v>
      </c>
      <c r="E56" s="51" t="s">
        <v>0</v>
      </c>
      <c r="F56" s="51" t="s">
        <v>0</v>
      </c>
      <c r="G56" s="51" t="s">
        <v>0</v>
      </c>
      <c r="H56" s="51" t="s">
        <v>0</v>
      </c>
      <c r="I56" s="16">
        <f t="shared" si="29"/>
        <v>0</v>
      </c>
      <c r="J56" s="16">
        <f t="shared" si="29"/>
        <v>0</v>
      </c>
      <c r="K56" s="16">
        <f t="shared" si="29"/>
        <v>0</v>
      </c>
      <c r="L56" s="16">
        <f t="shared" si="29"/>
        <v>0.5859375</v>
      </c>
      <c r="M56" s="16">
        <f t="shared" si="29"/>
        <v>1.7578125000000002</v>
      </c>
      <c r="N56" s="16">
        <f t="shared" si="29"/>
        <v>2.9296875</v>
      </c>
      <c r="O56" s="16">
        <f t="shared" si="29"/>
        <v>6.4453125000000009</v>
      </c>
      <c r="P56" s="16">
        <f t="shared" si="29"/>
        <v>8.9192708333333339</v>
      </c>
      <c r="Q56" s="16">
        <f t="shared" si="29"/>
        <v>23.697916666666668</v>
      </c>
      <c r="R56" s="53"/>
      <c r="S56" s="46" t="s">
        <v>0</v>
      </c>
      <c r="T56" s="51" t="s">
        <v>0</v>
      </c>
      <c r="U56" s="51" t="s">
        <v>0</v>
      </c>
      <c r="V56" s="51" t="s">
        <v>0</v>
      </c>
      <c r="W56" s="51" t="s">
        <v>0</v>
      </c>
      <c r="X56" s="55">
        <f t="shared" si="30"/>
        <v>0</v>
      </c>
      <c r="Y56" s="55">
        <f t="shared" si="30"/>
        <v>0</v>
      </c>
      <c r="Z56" s="55">
        <f t="shared" si="30"/>
        <v>0</v>
      </c>
      <c r="AA56" s="55">
        <f t="shared" si="30"/>
        <v>8.2031250000000003E-3</v>
      </c>
      <c r="AB56" s="55">
        <f t="shared" si="30"/>
        <v>2.4609375000000003E-2</v>
      </c>
      <c r="AC56" s="55">
        <f t="shared" si="30"/>
        <v>4.1015625E-2</v>
      </c>
      <c r="AD56" s="55">
        <f t="shared" si="30"/>
        <v>9.0234375000000006E-2</v>
      </c>
      <c r="AE56" s="55">
        <f t="shared" si="30"/>
        <v>0.12486979166666667</v>
      </c>
      <c r="AF56" s="55">
        <f t="shared" si="30"/>
        <v>0.33177083333333335</v>
      </c>
    </row>
    <row r="57" spans="1:32" x14ac:dyDescent="0.25">
      <c r="A57" s="45">
        <v>3</v>
      </c>
      <c r="B57" s="46">
        <f t="shared" si="31"/>
        <v>120</v>
      </c>
      <c r="C57" s="858"/>
      <c r="D57" s="46" t="s">
        <v>0</v>
      </c>
      <c r="E57" s="51" t="s">
        <v>0</v>
      </c>
      <c r="F57" s="51" t="s">
        <v>0</v>
      </c>
      <c r="G57" s="51" t="s">
        <v>0</v>
      </c>
      <c r="H57" s="51" t="s">
        <v>0</v>
      </c>
      <c r="I57" s="16">
        <f t="shared" si="29"/>
        <v>0</v>
      </c>
      <c r="J57" s="16">
        <f t="shared" si="29"/>
        <v>0</v>
      </c>
      <c r="K57" s="16">
        <f t="shared" si="29"/>
        <v>0</v>
      </c>
      <c r="L57" s="16">
        <f t="shared" si="29"/>
        <v>0.29296875</v>
      </c>
      <c r="M57" s="16">
        <f t="shared" si="29"/>
        <v>0.87890625000000011</v>
      </c>
      <c r="N57" s="16">
        <f t="shared" si="29"/>
        <v>1.46484375</v>
      </c>
      <c r="O57" s="16">
        <f t="shared" si="29"/>
        <v>3.2226562500000004</v>
      </c>
      <c r="P57" s="16">
        <f t="shared" si="29"/>
        <v>4.459635416666667</v>
      </c>
      <c r="Q57" s="16">
        <f t="shared" si="29"/>
        <v>11.848958333333334</v>
      </c>
      <c r="R57" s="53"/>
      <c r="S57" s="46" t="s">
        <v>0</v>
      </c>
      <c r="T57" s="51" t="s">
        <v>0</v>
      </c>
      <c r="U57" s="51" t="s">
        <v>0</v>
      </c>
      <c r="V57" s="51" t="s">
        <v>0</v>
      </c>
      <c r="W57" s="51" t="s">
        <v>0</v>
      </c>
      <c r="X57" s="55">
        <f t="shared" si="30"/>
        <v>0</v>
      </c>
      <c r="Y57" s="55">
        <f t="shared" si="30"/>
        <v>0</v>
      </c>
      <c r="Z57" s="55">
        <f t="shared" si="30"/>
        <v>0</v>
      </c>
      <c r="AA57" s="55">
        <f t="shared" si="30"/>
        <v>4.1015625000000002E-3</v>
      </c>
      <c r="AB57" s="55">
        <f t="shared" si="30"/>
        <v>1.2304687500000001E-2</v>
      </c>
      <c r="AC57" s="55">
        <f t="shared" si="30"/>
        <v>2.05078125E-2</v>
      </c>
      <c r="AD57" s="55">
        <f t="shared" si="30"/>
        <v>4.5117187500000003E-2</v>
      </c>
      <c r="AE57" s="55">
        <f t="shared" si="30"/>
        <v>6.2434895833333337E-2</v>
      </c>
      <c r="AF57" s="55">
        <f t="shared" si="30"/>
        <v>0.16588541666666667</v>
      </c>
    </row>
    <row r="58" spans="1:32" x14ac:dyDescent="0.25">
      <c r="A58" s="45">
        <v>5</v>
      </c>
      <c r="B58" s="46">
        <f t="shared" si="31"/>
        <v>480</v>
      </c>
      <c r="C58" s="858"/>
      <c r="D58" s="46" t="s">
        <v>0</v>
      </c>
      <c r="E58" s="51" t="s">
        <v>0</v>
      </c>
      <c r="F58" s="51" t="s">
        <v>0</v>
      </c>
      <c r="G58" s="51" t="s">
        <v>0</v>
      </c>
      <c r="H58" s="51" t="s">
        <v>0</v>
      </c>
      <c r="I58" s="16">
        <f t="shared" si="29"/>
        <v>0</v>
      </c>
      <c r="J58" s="16">
        <f t="shared" si="29"/>
        <v>0</v>
      </c>
      <c r="K58" s="16">
        <f t="shared" si="29"/>
        <v>0</v>
      </c>
      <c r="L58" s="16">
        <f t="shared" si="29"/>
        <v>7.32421875E-2</v>
      </c>
      <c r="M58" s="16">
        <f t="shared" si="29"/>
        <v>0.21972656250000003</v>
      </c>
      <c r="N58" s="16">
        <f t="shared" si="29"/>
        <v>0.3662109375</v>
      </c>
      <c r="O58" s="16">
        <f t="shared" si="29"/>
        <v>0.80566406250000011</v>
      </c>
      <c r="P58" s="16">
        <f t="shared" si="29"/>
        <v>1.1149088541666667</v>
      </c>
      <c r="Q58" s="16">
        <f t="shared" si="29"/>
        <v>2.9622395833333335</v>
      </c>
      <c r="R58" s="53"/>
      <c r="S58" s="46" t="s">
        <v>0</v>
      </c>
      <c r="T58" s="51" t="s">
        <v>0</v>
      </c>
      <c r="U58" s="51" t="s">
        <v>0</v>
      </c>
      <c r="V58" s="51" t="s">
        <v>0</v>
      </c>
      <c r="W58" s="51" t="s">
        <v>0</v>
      </c>
      <c r="X58" s="55">
        <f t="shared" si="30"/>
        <v>0</v>
      </c>
      <c r="Y58" s="55">
        <f t="shared" si="30"/>
        <v>0</v>
      </c>
      <c r="Z58" s="55">
        <f t="shared" si="30"/>
        <v>0</v>
      </c>
      <c r="AA58" s="55">
        <f t="shared" si="30"/>
        <v>1.025390625E-3</v>
      </c>
      <c r="AB58" s="55">
        <f t="shared" si="30"/>
        <v>3.0761718750000003E-3</v>
      </c>
      <c r="AC58" s="55">
        <f t="shared" si="30"/>
        <v>5.126953125E-3</v>
      </c>
      <c r="AD58" s="55">
        <f t="shared" si="30"/>
        <v>1.1279296875000001E-2</v>
      </c>
      <c r="AE58" s="55">
        <f t="shared" si="30"/>
        <v>1.5608723958333334E-2</v>
      </c>
      <c r="AF58" s="55">
        <f t="shared" si="30"/>
        <v>4.1471354166666669E-2</v>
      </c>
    </row>
    <row r="59" spans="1:32" x14ac:dyDescent="0.25">
      <c r="A59" s="45">
        <v>6</v>
      </c>
      <c r="B59" s="46">
        <f t="shared" si="31"/>
        <v>960</v>
      </c>
      <c r="C59" s="859"/>
      <c r="D59" s="46" t="s">
        <v>0</v>
      </c>
      <c r="E59" s="51" t="s">
        <v>0</v>
      </c>
      <c r="F59" s="51" t="s">
        <v>0</v>
      </c>
      <c r="G59" s="51" t="s">
        <v>0</v>
      </c>
      <c r="H59" s="51" t="s">
        <v>0</v>
      </c>
      <c r="I59" s="16">
        <f t="shared" si="29"/>
        <v>0</v>
      </c>
      <c r="J59" s="16">
        <f t="shared" si="29"/>
        <v>0</v>
      </c>
      <c r="K59" s="16">
        <f t="shared" si="29"/>
        <v>0</v>
      </c>
      <c r="L59" s="16">
        <f t="shared" si="29"/>
        <v>3.662109375E-2</v>
      </c>
      <c r="M59" s="16">
        <f t="shared" si="29"/>
        <v>0.10986328125000001</v>
      </c>
      <c r="N59" s="16">
        <f t="shared" si="29"/>
        <v>0.18310546875</v>
      </c>
      <c r="O59" s="16">
        <f t="shared" si="29"/>
        <v>0.40283203125000006</v>
      </c>
      <c r="P59" s="16">
        <f t="shared" si="29"/>
        <v>0.55745442708333337</v>
      </c>
      <c r="Q59" s="16">
        <f t="shared" si="29"/>
        <v>1.4811197916666667</v>
      </c>
      <c r="R59" s="53"/>
      <c r="S59" s="46" t="s">
        <v>0</v>
      </c>
      <c r="T59" s="51" t="s">
        <v>0</v>
      </c>
      <c r="U59" s="51" t="s">
        <v>0</v>
      </c>
      <c r="V59" s="51" t="s">
        <v>0</v>
      </c>
      <c r="W59" s="51" t="s">
        <v>0</v>
      </c>
      <c r="X59" s="55">
        <f t="shared" si="30"/>
        <v>0</v>
      </c>
      <c r="Y59" s="55">
        <f t="shared" si="30"/>
        <v>0</v>
      </c>
      <c r="Z59" s="55">
        <f t="shared" si="30"/>
        <v>0</v>
      </c>
      <c r="AA59" s="55">
        <f t="shared" si="30"/>
        <v>5.1269531250000002E-4</v>
      </c>
      <c r="AB59" s="55">
        <f t="shared" si="30"/>
        <v>1.5380859375000002E-3</v>
      </c>
      <c r="AC59" s="55">
        <f t="shared" si="30"/>
        <v>2.5634765625E-3</v>
      </c>
      <c r="AD59" s="55">
        <f t="shared" si="30"/>
        <v>5.6396484375000003E-3</v>
      </c>
      <c r="AE59" s="55">
        <f t="shared" si="30"/>
        <v>7.8043619791666671E-3</v>
      </c>
      <c r="AF59" s="55">
        <f t="shared" si="30"/>
        <v>2.0735677083333334E-2</v>
      </c>
    </row>
    <row r="60" spans="1:32" x14ac:dyDescent="0.25">
      <c r="R60" s="53"/>
    </row>
    <row r="61" spans="1:32" ht="31.5" customHeight="1" x14ac:dyDescent="0.25">
      <c r="E61" s="855" t="s">
        <v>83</v>
      </c>
      <c r="F61" s="855"/>
      <c r="G61" s="855"/>
      <c r="H61" s="855"/>
      <c r="I61" s="855"/>
      <c r="J61" s="855"/>
      <c r="K61" s="855"/>
      <c r="L61" s="855"/>
      <c r="M61" s="855"/>
      <c r="N61" s="855"/>
      <c r="O61" s="855"/>
      <c r="P61" s="855"/>
      <c r="Q61" s="855"/>
      <c r="T61" s="856" t="s">
        <v>161</v>
      </c>
      <c r="U61" s="855"/>
      <c r="V61" s="855"/>
      <c r="W61" s="855"/>
      <c r="X61" s="855"/>
      <c r="Y61" s="855"/>
      <c r="Z61" s="855"/>
      <c r="AA61" s="855"/>
      <c r="AB61" s="855"/>
      <c r="AC61" s="855"/>
      <c r="AD61" s="855"/>
      <c r="AE61" s="855"/>
      <c r="AF61" s="855"/>
    </row>
    <row r="62" spans="1:32" ht="30" x14ac:dyDescent="0.25">
      <c r="A62" s="63" t="s">
        <v>77</v>
      </c>
      <c r="B62" s="56" t="s">
        <v>71</v>
      </c>
      <c r="C62" s="56" t="s">
        <v>58</v>
      </c>
      <c r="D62" s="45" t="s">
        <v>63</v>
      </c>
      <c r="E62" s="47">
        <v>0</v>
      </c>
      <c r="F62" s="47">
        <v>1</v>
      </c>
      <c r="G62" s="47">
        <v>2</v>
      </c>
      <c r="H62" s="47">
        <v>3</v>
      </c>
      <c r="I62" s="45" t="s">
        <v>45</v>
      </c>
      <c r="J62" s="45" t="s">
        <v>61</v>
      </c>
      <c r="K62" s="45" t="s">
        <v>62</v>
      </c>
      <c r="L62" s="45" t="s">
        <v>64</v>
      </c>
      <c r="M62" s="45" t="s">
        <v>65</v>
      </c>
      <c r="N62" s="45" t="s">
        <v>66</v>
      </c>
      <c r="O62" s="45" t="s">
        <v>67</v>
      </c>
      <c r="P62" s="45" t="s">
        <v>68</v>
      </c>
      <c r="Q62" s="45" t="s">
        <v>69</v>
      </c>
      <c r="S62" s="45" t="s">
        <v>63</v>
      </c>
      <c r="T62" s="47">
        <v>0</v>
      </c>
      <c r="U62" s="47">
        <v>1</v>
      </c>
      <c r="V62" s="47">
        <v>2</v>
      </c>
      <c r="W62" s="47">
        <v>3</v>
      </c>
      <c r="X62" s="45" t="s">
        <v>45</v>
      </c>
      <c r="Y62" s="45" t="s">
        <v>61</v>
      </c>
      <c r="Z62" s="45" t="s">
        <v>62</v>
      </c>
      <c r="AA62" s="45" t="s">
        <v>64</v>
      </c>
      <c r="AB62" s="45" t="s">
        <v>65</v>
      </c>
      <c r="AC62" s="45" t="s">
        <v>66</v>
      </c>
      <c r="AD62" s="45" t="s">
        <v>67</v>
      </c>
      <c r="AE62" s="45" t="s">
        <v>68</v>
      </c>
      <c r="AF62" s="45" t="s">
        <v>69</v>
      </c>
    </row>
    <row r="63" spans="1:32" x14ac:dyDescent="0.25">
      <c r="A63" s="45" t="s">
        <v>0</v>
      </c>
      <c r="B63" s="46">
        <f>1.25</f>
        <v>1.25</v>
      </c>
      <c r="C63" s="46" t="s">
        <v>59</v>
      </c>
      <c r="D63" s="46" t="s">
        <v>0</v>
      </c>
      <c r="E63" s="16">
        <f>E39+E52</f>
        <v>1000</v>
      </c>
      <c r="F63" s="16">
        <f>F39+F52</f>
        <v>3000</v>
      </c>
      <c r="G63" s="16">
        <f>G39+G52</f>
        <v>4305.208333333333</v>
      </c>
      <c r="H63" s="51" t="s">
        <v>0</v>
      </c>
      <c r="I63" s="51" t="s">
        <v>0</v>
      </c>
      <c r="J63" s="51" t="s">
        <v>0</v>
      </c>
      <c r="K63" s="51" t="s">
        <v>0</v>
      </c>
      <c r="L63" s="51" t="s">
        <v>0</v>
      </c>
      <c r="M63" s="51" t="s">
        <v>0</v>
      </c>
      <c r="N63" s="51" t="s">
        <v>0</v>
      </c>
      <c r="O63" s="51" t="s">
        <v>0</v>
      </c>
      <c r="P63" s="51" t="s">
        <v>0</v>
      </c>
      <c r="Q63" s="51" t="s">
        <v>0</v>
      </c>
      <c r="R63" s="52"/>
      <c r="S63" s="46" t="s">
        <v>0</v>
      </c>
      <c r="T63" s="92">
        <f>T39+T52</f>
        <v>13.999999999999998</v>
      </c>
      <c r="U63" s="92">
        <f>U39+U52</f>
        <v>41.999999999999993</v>
      </c>
      <c r="V63" s="62">
        <f>V39+V52</f>
        <v>60.272916666666667</v>
      </c>
      <c r="W63" s="51" t="s">
        <v>0</v>
      </c>
      <c r="X63" s="51" t="s">
        <v>0</v>
      </c>
      <c r="Y63" s="51" t="s">
        <v>0</v>
      </c>
      <c r="Z63" s="51" t="s">
        <v>0</v>
      </c>
      <c r="AA63" s="51" t="s">
        <v>0</v>
      </c>
      <c r="AB63" s="51" t="s">
        <v>0</v>
      </c>
      <c r="AC63" s="51" t="s">
        <v>0</v>
      </c>
      <c r="AD63" s="51" t="s">
        <v>0</v>
      </c>
      <c r="AE63" s="51" t="s">
        <v>0</v>
      </c>
      <c r="AF63" s="51" t="s">
        <v>0</v>
      </c>
    </row>
    <row r="64" spans="1:32" x14ac:dyDescent="0.25">
      <c r="A64" s="45" t="s">
        <v>0</v>
      </c>
      <c r="B64" s="46">
        <v>5</v>
      </c>
      <c r="C64" s="46">
        <v>3</v>
      </c>
      <c r="D64" s="46" t="s">
        <v>0</v>
      </c>
      <c r="E64" s="51" t="s">
        <v>0</v>
      </c>
      <c r="F64" s="51" t="s">
        <v>0</v>
      </c>
      <c r="G64" s="51" t="s">
        <v>0</v>
      </c>
      <c r="H64" s="16">
        <f>H40+H53</f>
        <v>1000</v>
      </c>
      <c r="I64" s="51" t="s">
        <v>0</v>
      </c>
      <c r="J64" s="51" t="s">
        <v>0</v>
      </c>
      <c r="K64" s="51" t="s">
        <v>0</v>
      </c>
      <c r="L64" s="51" t="s">
        <v>0</v>
      </c>
      <c r="M64" s="51" t="s">
        <v>0</v>
      </c>
      <c r="N64" s="51" t="s">
        <v>0</v>
      </c>
      <c r="O64" s="51" t="s">
        <v>0</v>
      </c>
      <c r="P64" s="51" t="s">
        <v>0</v>
      </c>
      <c r="Q64" s="51" t="s">
        <v>0</v>
      </c>
      <c r="R64" s="53"/>
      <c r="S64" s="46" t="s">
        <v>0</v>
      </c>
      <c r="T64" s="51" t="s">
        <v>0</v>
      </c>
      <c r="U64" s="51" t="s">
        <v>0</v>
      </c>
      <c r="V64" s="51" t="s">
        <v>0</v>
      </c>
      <c r="W64" s="92">
        <f>W40+W53</f>
        <v>13.999999999999998</v>
      </c>
      <c r="X64" s="51" t="s">
        <v>0</v>
      </c>
      <c r="Y64" s="51" t="s">
        <v>0</v>
      </c>
      <c r="Z64" s="51" t="s">
        <v>0</v>
      </c>
      <c r="AA64" s="51" t="s">
        <v>0</v>
      </c>
      <c r="AB64" s="51" t="s">
        <v>0</v>
      </c>
      <c r="AC64" s="51" t="s">
        <v>0</v>
      </c>
      <c r="AD64" s="51" t="s">
        <v>0</v>
      </c>
      <c r="AE64" s="51" t="s">
        <v>0</v>
      </c>
      <c r="AF64" s="51" t="s">
        <v>0</v>
      </c>
    </row>
    <row r="65" spans="1:32" ht="15" customHeight="1" x14ac:dyDescent="0.25">
      <c r="A65" s="45">
        <v>0</v>
      </c>
      <c r="B65" s="46">
        <f>15*2^A65</f>
        <v>15</v>
      </c>
      <c r="C65" s="857" t="s">
        <v>60</v>
      </c>
      <c r="D65" s="46" t="s">
        <v>0</v>
      </c>
      <c r="E65" s="51" t="s">
        <v>0</v>
      </c>
      <c r="F65" s="51" t="s">
        <v>0</v>
      </c>
      <c r="G65" s="51" t="s">
        <v>0</v>
      </c>
      <c r="H65" s="51" t="s">
        <v>0</v>
      </c>
      <c r="I65" s="16">
        <f t="shared" ref="I65:Q65" si="32">I41+I54</f>
        <v>142.70833333333334</v>
      </c>
      <c r="J65" s="16">
        <f t="shared" si="32"/>
        <v>285.41666666666669</v>
      </c>
      <c r="K65" s="16">
        <f t="shared" si="32"/>
        <v>428.125</v>
      </c>
      <c r="L65" s="16">
        <f t="shared" si="32"/>
        <v>142.70833333333334</v>
      </c>
      <c r="M65" s="16">
        <f t="shared" si="32"/>
        <v>285.41666666666669</v>
      </c>
      <c r="N65" s="16">
        <f t="shared" si="32"/>
        <v>428.125</v>
      </c>
      <c r="O65" s="16">
        <f t="shared" si="32"/>
        <v>856.25</v>
      </c>
      <c r="P65" s="16">
        <f t="shared" si="32"/>
        <v>142.70833333333334</v>
      </c>
      <c r="Q65" s="16">
        <f t="shared" si="32"/>
        <v>428.12500000000006</v>
      </c>
      <c r="R65" s="53"/>
      <c r="S65" s="46" t="s">
        <v>0</v>
      </c>
      <c r="T65" s="51" t="s">
        <v>0</v>
      </c>
      <c r="U65" s="51" t="s">
        <v>0</v>
      </c>
      <c r="V65" s="51" t="s">
        <v>0</v>
      </c>
      <c r="W65" s="51" t="s">
        <v>0</v>
      </c>
      <c r="X65" s="93">
        <f>I65/$D$92</f>
        <v>2</v>
      </c>
      <c r="Y65" s="60">
        <f t="shared" ref="Y65:Y70" si="33">J65/$D$92</f>
        <v>4</v>
      </c>
      <c r="Z65" s="60">
        <f t="shared" ref="Z65:Z70" si="34">K65/$D$92</f>
        <v>6</v>
      </c>
      <c r="AA65" s="60">
        <f t="shared" ref="AA65:AA70" si="35">L65/$D$92</f>
        <v>2</v>
      </c>
      <c r="AB65" s="60">
        <f t="shared" ref="AB65:AB70" si="36">M65/$D$92</f>
        <v>4</v>
      </c>
      <c r="AC65" s="60">
        <f t="shared" ref="AC65:AC70" si="37">N65/$D$92</f>
        <v>6</v>
      </c>
      <c r="AD65" s="60">
        <f t="shared" ref="AD65:AD70" si="38">O65/$D$92</f>
        <v>12</v>
      </c>
      <c r="AE65" s="60">
        <f t="shared" ref="AE65:AE70" si="39">P65/$D$92</f>
        <v>2</v>
      </c>
      <c r="AF65" s="60">
        <f t="shared" ref="AF65:AF70" si="40">Q65/$D$92</f>
        <v>6</v>
      </c>
    </row>
    <row r="66" spans="1:32" ht="15" customHeight="1" x14ac:dyDescent="0.25">
      <c r="A66" s="45">
        <v>1</v>
      </c>
      <c r="B66" s="46">
        <f t="shared" ref="B66:B70" si="41">15*2^A66</f>
        <v>30</v>
      </c>
      <c r="C66" s="858"/>
      <c r="D66" s="46" t="s">
        <v>0</v>
      </c>
      <c r="E66" s="51" t="s">
        <v>0</v>
      </c>
      <c r="F66" s="51" t="s">
        <v>0</v>
      </c>
      <c r="G66" s="51" t="s">
        <v>0</v>
      </c>
      <c r="H66" s="51" t="s">
        <v>0</v>
      </c>
      <c r="I66" s="16">
        <f t="shared" ref="I66:Q66" si="42">I42+I55</f>
        <v>71.354166666666671</v>
      </c>
      <c r="J66" s="16">
        <f t="shared" si="42"/>
        <v>142.70833333333334</v>
      </c>
      <c r="K66" s="16">
        <f t="shared" si="42"/>
        <v>214.0625</v>
      </c>
      <c r="L66" s="16">
        <f t="shared" si="42"/>
        <v>71.354166666666671</v>
      </c>
      <c r="M66" s="16">
        <f t="shared" si="42"/>
        <v>142.70833333333334</v>
      </c>
      <c r="N66" s="16">
        <f t="shared" si="42"/>
        <v>214.0625</v>
      </c>
      <c r="O66" s="16">
        <f t="shared" si="42"/>
        <v>428.125</v>
      </c>
      <c r="P66" s="16">
        <f t="shared" si="42"/>
        <v>71.354166666666671</v>
      </c>
      <c r="Q66" s="16">
        <f t="shared" si="42"/>
        <v>214.06250000000003</v>
      </c>
      <c r="R66" s="53"/>
      <c r="S66" s="46" t="s">
        <v>0</v>
      </c>
      <c r="T66" s="51" t="s">
        <v>0</v>
      </c>
      <c r="U66" s="51" t="s">
        <v>0</v>
      </c>
      <c r="V66" s="51" t="s">
        <v>0</v>
      </c>
      <c r="W66" s="51" t="s">
        <v>0</v>
      </c>
      <c r="X66" s="55">
        <f t="shared" ref="X66:X70" si="43">I66/$D$92</f>
        <v>1</v>
      </c>
      <c r="Y66" s="51">
        <f t="shared" si="33"/>
        <v>2</v>
      </c>
      <c r="Z66" s="51">
        <f t="shared" si="34"/>
        <v>3</v>
      </c>
      <c r="AA66" s="51">
        <f t="shared" si="35"/>
        <v>1</v>
      </c>
      <c r="AB66" s="51">
        <f t="shared" si="36"/>
        <v>2</v>
      </c>
      <c r="AC66" s="51">
        <f t="shared" si="37"/>
        <v>3</v>
      </c>
      <c r="AD66" s="51">
        <f t="shared" si="38"/>
        <v>6</v>
      </c>
      <c r="AE66" s="51">
        <f t="shared" si="39"/>
        <v>1</v>
      </c>
      <c r="AF66" s="51">
        <f t="shared" si="40"/>
        <v>3</v>
      </c>
    </row>
    <row r="67" spans="1:32" x14ac:dyDescent="0.25">
      <c r="A67" s="45">
        <v>2</v>
      </c>
      <c r="B67" s="46">
        <f t="shared" si="41"/>
        <v>60</v>
      </c>
      <c r="C67" s="858"/>
      <c r="D67" s="46" t="s">
        <v>0</v>
      </c>
      <c r="E67" s="51" t="s">
        <v>0</v>
      </c>
      <c r="F67" s="51" t="s">
        <v>0</v>
      </c>
      <c r="G67" s="51" t="s">
        <v>0</v>
      </c>
      <c r="H67" s="51" t="s">
        <v>0</v>
      </c>
      <c r="I67" s="51">
        <f t="shared" ref="I67:Q67" si="44">I43+I56</f>
        <v>35.677083333333336</v>
      </c>
      <c r="J67" s="51">
        <f t="shared" si="44"/>
        <v>71.354166666666671</v>
      </c>
      <c r="K67" s="51">
        <f t="shared" si="44"/>
        <v>107.03125</v>
      </c>
      <c r="L67" s="51">
        <f t="shared" si="44"/>
        <v>35.677083333333336</v>
      </c>
      <c r="M67" s="51">
        <f t="shared" si="44"/>
        <v>71.354166666666671</v>
      </c>
      <c r="N67" s="51">
        <f t="shared" si="44"/>
        <v>107.03125</v>
      </c>
      <c r="O67" s="51">
        <f t="shared" si="44"/>
        <v>214.0625</v>
      </c>
      <c r="P67" s="51">
        <f t="shared" si="44"/>
        <v>35.677083333333336</v>
      </c>
      <c r="Q67" s="51">
        <f t="shared" si="44"/>
        <v>107.03125000000001</v>
      </c>
      <c r="R67" s="53"/>
      <c r="S67" s="46" t="s">
        <v>0</v>
      </c>
      <c r="T67" s="51" t="s">
        <v>0</v>
      </c>
      <c r="U67" s="51" t="s">
        <v>0</v>
      </c>
      <c r="V67" s="51" t="s">
        <v>0</v>
      </c>
      <c r="W67" s="51" t="s">
        <v>0</v>
      </c>
      <c r="X67" s="55">
        <f t="shared" si="43"/>
        <v>0.5</v>
      </c>
      <c r="Y67" s="55">
        <f t="shared" si="33"/>
        <v>1</v>
      </c>
      <c r="Z67" s="55">
        <f t="shared" si="34"/>
        <v>1.5</v>
      </c>
      <c r="AA67" s="55">
        <f t="shared" si="35"/>
        <v>0.5</v>
      </c>
      <c r="AB67" s="55">
        <f t="shared" si="36"/>
        <v>1</v>
      </c>
      <c r="AC67" s="55">
        <f t="shared" si="37"/>
        <v>1.5</v>
      </c>
      <c r="AD67" s="55">
        <f t="shared" si="38"/>
        <v>3</v>
      </c>
      <c r="AE67" s="55">
        <f t="shared" si="39"/>
        <v>0.5</v>
      </c>
      <c r="AF67" s="55">
        <f t="shared" si="40"/>
        <v>1.5</v>
      </c>
    </row>
    <row r="68" spans="1:32" x14ac:dyDescent="0.25">
      <c r="A68" s="45">
        <v>3</v>
      </c>
      <c r="B68" s="46">
        <f t="shared" si="41"/>
        <v>120</v>
      </c>
      <c r="C68" s="858"/>
      <c r="D68" s="46" t="s">
        <v>0</v>
      </c>
      <c r="E68" s="51" t="s">
        <v>0</v>
      </c>
      <c r="F68" s="51" t="s">
        <v>0</v>
      </c>
      <c r="G68" s="51" t="s">
        <v>0</v>
      </c>
      <c r="H68" s="51" t="s">
        <v>0</v>
      </c>
      <c r="I68" s="51">
        <f t="shared" ref="I68:Q68" si="45">I44+I57</f>
        <v>17.838541666666668</v>
      </c>
      <c r="J68" s="51">
        <f t="shared" si="45"/>
        <v>35.677083333333336</v>
      </c>
      <c r="K68" s="51">
        <f t="shared" si="45"/>
        <v>53.515625</v>
      </c>
      <c r="L68" s="51">
        <f t="shared" si="45"/>
        <v>17.838541666666668</v>
      </c>
      <c r="M68" s="51">
        <f t="shared" si="45"/>
        <v>35.677083333333336</v>
      </c>
      <c r="N68" s="51">
        <f t="shared" si="45"/>
        <v>53.515625</v>
      </c>
      <c r="O68" s="51">
        <f t="shared" si="45"/>
        <v>107.03125</v>
      </c>
      <c r="P68" s="51">
        <f t="shared" si="45"/>
        <v>17.838541666666668</v>
      </c>
      <c r="Q68" s="51">
        <f t="shared" si="45"/>
        <v>53.515625000000007</v>
      </c>
      <c r="R68" s="53"/>
      <c r="S68" s="46" t="s">
        <v>0</v>
      </c>
      <c r="T68" s="51" t="s">
        <v>0</v>
      </c>
      <c r="U68" s="51" t="s">
        <v>0</v>
      </c>
      <c r="V68" s="51" t="s">
        <v>0</v>
      </c>
      <c r="W68" s="51" t="s">
        <v>0</v>
      </c>
      <c r="X68" s="55">
        <f t="shared" si="43"/>
        <v>0.25</v>
      </c>
      <c r="Y68" s="55">
        <f t="shared" si="33"/>
        <v>0.5</v>
      </c>
      <c r="Z68" s="55">
        <f t="shared" si="34"/>
        <v>0.75</v>
      </c>
      <c r="AA68" s="55">
        <f t="shared" si="35"/>
        <v>0.25</v>
      </c>
      <c r="AB68" s="55">
        <f t="shared" si="36"/>
        <v>0.5</v>
      </c>
      <c r="AC68" s="55">
        <f t="shared" si="37"/>
        <v>0.75</v>
      </c>
      <c r="AD68" s="55">
        <f t="shared" si="38"/>
        <v>1.5</v>
      </c>
      <c r="AE68" s="55">
        <f t="shared" si="39"/>
        <v>0.25</v>
      </c>
      <c r="AF68" s="55">
        <f t="shared" si="40"/>
        <v>0.75</v>
      </c>
    </row>
    <row r="69" spans="1:32" x14ac:dyDescent="0.25">
      <c r="A69" s="45">
        <v>5</v>
      </c>
      <c r="B69" s="46">
        <f t="shared" si="41"/>
        <v>480</v>
      </c>
      <c r="C69" s="858"/>
      <c r="D69" s="46" t="s">
        <v>0</v>
      </c>
      <c r="E69" s="51" t="s">
        <v>0</v>
      </c>
      <c r="F69" s="51" t="s">
        <v>0</v>
      </c>
      <c r="G69" s="51" t="s">
        <v>0</v>
      </c>
      <c r="H69" s="51" t="s">
        <v>0</v>
      </c>
      <c r="I69" s="51">
        <f t="shared" ref="I69:Q69" si="46">I45+I58</f>
        <v>4.459635416666667</v>
      </c>
      <c r="J69" s="51">
        <f t="shared" si="46"/>
        <v>8.9192708333333339</v>
      </c>
      <c r="K69" s="51">
        <f t="shared" si="46"/>
        <v>13.37890625</v>
      </c>
      <c r="L69" s="51">
        <f t="shared" si="46"/>
        <v>4.459635416666667</v>
      </c>
      <c r="M69" s="51">
        <f t="shared" si="46"/>
        <v>8.9192708333333339</v>
      </c>
      <c r="N69" s="51">
        <f t="shared" si="46"/>
        <v>13.37890625</v>
      </c>
      <c r="O69" s="51">
        <f t="shared" si="46"/>
        <v>26.7578125</v>
      </c>
      <c r="P69" s="51">
        <f t="shared" si="46"/>
        <v>4.459635416666667</v>
      </c>
      <c r="Q69" s="51">
        <f t="shared" si="46"/>
        <v>13.378906250000002</v>
      </c>
      <c r="R69" s="53"/>
      <c r="S69" s="46" t="s">
        <v>0</v>
      </c>
      <c r="T69" s="51" t="s">
        <v>0</v>
      </c>
      <c r="U69" s="51" t="s">
        <v>0</v>
      </c>
      <c r="V69" s="51" t="s">
        <v>0</v>
      </c>
      <c r="W69" s="51" t="s">
        <v>0</v>
      </c>
      <c r="X69" s="55">
        <f t="shared" si="43"/>
        <v>6.25E-2</v>
      </c>
      <c r="Y69" s="55">
        <f t="shared" si="33"/>
        <v>0.125</v>
      </c>
      <c r="Z69" s="55">
        <f t="shared" si="34"/>
        <v>0.1875</v>
      </c>
      <c r="AA69" s="55">
        <f t="shared" si="35"/>
        <v>6.25E-2</v>
      </c>
      <c r="AB69" s="55">
        <f t="shared" si="36"/>
        <v>0.125</v>
      </c>
      <c r="AC69" s="55">
        <f t="shared" si="37"/>
        <v>0.1875</v>
      </c>
      <c r="AD69" s="55">
        <f t="shared" si="38"/>
        <v>0.375</v>
      </c>
      <c r="AE69" s="55">
        <f t="shared" si="39"/>
        <v>6.25E-2</v>
      </c>
      <c r="AF69" s="55">
        <f t="shared" si="40"/>
        <v>0.1875</v>
      </c>
    </row>
    <row r="70" spans="1:32" x14ac:dyDescent="0.25">
      <c r="A70" s="45">
        <v>6</v>
      </c>
      <c r="B70" s="46">
        <f t="shared" si="41"/>
        <v>960</v>
      </c>
      <c r="C70" s="859"/>
      <c r="D70" s="46" t="s">
        <v>0</v>
      </c>
      <c r="E70" s="51" t="s">
        <v>0</v>
      </c>
      <c r="F70" s="51" t="s">
        <v>0</v>
      </c>
      <c r="G70" s="51" t="s">
        <v>0</v>
      </c>
      <c r="H70" s="51" t="s">
        <v>0</v>
      </c>
      <c r="I70" s="51">
        <f t="shared" ref="I70:Q70" si="47">I46+I59</f>
        <v>2.2298177083333335</v>
      </c>
      <c r="J70" s="51">
        <f t="shared" si="47"/>
        <v>4.459635416666667</v>
      </c>
      <c r="K70" s="51">
        <f t="shared" si="47"/>
        <v>6.689453125</v>
      </c>
      <c r="L70" s="51">
        <f t="shared" si="47"/>
        <v>2.2298177083333335</v>
      </c>
      <c r="M70" s="51">
        <f t="shared" si="47"/>
        <v>4.459635416666667</v>
      </c>
      <c r="N70" s="51">
        <f t="shared" si="47"/>
        <v>6.689453125</v>
      </c>
      <c r="O70" s="51">
        <f t="shared" si="47"/>
        <v>13.37890625</v>
      </c>
      <c r="P70" s="51">
        <f t="shared" si="47"/>
        <v>2.2298177083333335</v>
      </c>
      <c r="Q70" s="51">
        <f t="shared" si="47"/>
        <v>6.6894531250000009</v>
      </c>
      <c r="R70" s="53"/>
      <c r="S70" s="46" t="s">
        <v>0</v>
      </c>
      <c r="T70" s="51" t="s">
        <v>0</v>
      </c>
      <c r="U70" s="51" t="s">
        <v>0</v>
      </c>
      <c r="V70" s="51" t="s">
        <v>0</v>
      </c>
      <c r="W70" s="51" t="s">
        <v>0</v>
      </c>
      <c r="X70" s="55">
        <f t="shared" si="43"/>
        <v>3.125E-2</v>
      </c>
      <c r="Y70" s="55">
        <f t="shared" si="33"/>
        <v>6.25E-2</v>
      </c>
      <c r="Z70" s="55">
        <f t="shared" si="34"/>
        <v>9.375E-2</v>
      </c>
      <c r="AA70" s="55">
        <f t="shared" si="35"/>
        <v>3.125E-2</v>
      </c>
      <c r="AB70" s="55">
        <f t="shared" si="36"/>
        <v>6.25E-2</v>
      </c>
      <c r="AC70" s="55">
        <f t="shared" si="37"/>
        <v>9.375E-2</v>
      </c>
      <c r="AD70" s="55">
        <f t="shared" si="38"/>
        <v>0.1875</v>
      </c>
      <c r="AE70" s="55">
        <f t="shared" si="39"/>
        <v>3.125E-2</v>
      </c>
      <c r="AF70" s="55">
        <f t="shared" si="40"/>
        <v>9.375E-2</v>
      </c>
    </row>
    <row r="71" spans="1:32" x14ac:dyDescent="0.25">
      <c r="R71" s="53"/>
    </row>
    <row r="72" spans="1:32" ht="34.5" customHeight="1" x14ac:dyDescent="0.25">
      <c r="E72" s="867"/>
      <c r="F72" s="867"/>
      <c r="G72" s="867"/>
      <c r="H72" s="867"/>
      <c r="I72" s="867"/>
      <c r="J72" s="867"/>
      <c r="K72" s="867"/>
      <c r="L72" s="867"/>
      <c r="M72" s="867"/>
      <c r="N72" s="867"/>
      <c r="O72" s="867"/>
      <c r="P72" s="867"/>
      <c r="Q72" s="867"/>
      <c r="T72" s="856" t="s">
        <v>159</v>
      </c>
      <c r="U72" s="855"/>
      <c r="V72" s="855"/>
      <c r="W72" s="855"/>
      <c r="X72" s="855"/>
      <c r="Y72" s="855"/>
      <c r="Z72" s="855"/>
      <c r="AA72" s="855"/>
      <c r="AB72" s="855"/>
      <c r="AC72" s="855"/>
      <c r="AD72" s="855"/>
      <c r="AE72" s="855"/>
      <c r="AF72" s="855"/>
    </row>
    <row r="73" spans="1:32" ht="30" x14ac:dyDescent="0.25">
      <c r="A73" s="63" t="s">
        <v>77</v>
      </c>
      <c r="B73" s="56" t="s">
        <v>71</v>
      </c>
      <c r="C73" s="56" t="s">
        <v>58</v>
      </c>
      <c r="D73" s="45" t="s">
        <v>63</v>
      </c>
      <c r="E73" s="27"/>
      <c r="F73" s="27"/>
      <c r="G73" s="27"/>
      <c r="H73" s="27"/>
      <c r="I73" s="52"/>
      <c r="J73" s="52"/>
      <c r="K73" s="52"/>
      <c r="L73" s="52"/>
      <c r="M73" s="52"/>
      <c r="N73" s="52"/>
      <c r="O73" s="52"/>
      <c r="P73" s="52"/>
      <c r="Q73" s="52"/>
      <c r="S73" s="45" t="s">
        <v>63</v>
      </c>
      <c r="T73" s="47" t="s">
        <v>160</v>
      </c>
      <c r="U73" s="47">
        <v>1</v>
      </c>
      <c r="V73" s="47">
        <v>2</v>
      </c>
      <c r="W73" s="47">
        <v>3</v>
      </c>
      <c r="X73" s="45" t="s">
        <v>45</v>
      </c>
      <c r="Y73" s="45" t="s">
        <v>61</v>
      </c>
      <c r="Z73" s="45" t="s">
        <v>62</v>
      </c>
      <c r="AA73" s="45" t="s">
        <v>64</v>
      </c>
      <c r="AB73" s="45" t="s">
        <v>65</v>
      </c>
      <c r="AC73" s="45" t="s">
        <v>66</v>
      </c>
      <c r="AD73" s="45" t="s">
        <v>67</v>
      </c>
      <c r="AE73" s="45" t="s">
        <v>68</v>
      </c>
      <c r="AF73" s="45" t="s">
        <v>69</v>
      </c>
    </row>
    <row r="74" spans="1:32" x14ac:dyDescent="0.25">
      <c r="A74" s="45" t="s">
        <v>0</v>
      </c>
      <c r="B74" s="46">
        <f>1.25</f>
        <v>1.25</v>
      </c>
      <c r="C74" s="46" t="s">
        <v>59</v>
      </c>
      <c r="D74" s="46" t="s">
        <v>0</v>
      </c>
      <c r="E74" s="91"/>
      <c r="F74" s="91"/>
      <c r="G74" s="91"/>
      <c r="H74" s="53"/>
      <c r="I74" s="53"/>
      <c r="J74" s="53"/>
      <c r="K74" s="53"/>
      <c r="L74" s="53"/>
      <c r="M74" s="53"/>
      <c r="N74" s="53"/>
      <c r="O74" s="53"/>
      <c r="P74" s="53"/>
      <c r="Q74" s="53"/>
      <c r="R74" s="52"/>
      <c r="S74" s="868" t="s">
        <v>0</v>
      </c>
      <c r="T74" s="92">
        <f>E63/1000</f>
        <v>1</v>
      </c>
      <c r="U74" s="92">
        <f t="shared" ref="U74:W75" si="48">F63/1000</f>
        <v>3</v>
      </c>
      <c r="V74" s="62">
        <f t="shared" si="48"/>
        <v>4.3052083333333329</v>
      </c>
      <c r="W74" s="51" t="s">
        <v>0</v>
      </c>
      <c r="X74" s="51" t="s">
        <v>0</v>
      </c>
      <c r="Y74" s="51" t="s">
        <v>0</v>
      </c>
      <c r="Z74" s="51" t="s">
        <v>0</v>
      </c>
      <c r="AA74" s="51" t="s">
        <v>0</v>
      </c>
      <c r="AB74" s="51" t="s">
        <v>0</v>
      </c>
      <c r="AC74" s="51" t="s">
        <v>0</v>
      </c>
      <c r="AD74" s="51" t="s">
        <v>0</v>
      </c>
      <c r="AE74" s="51" t="s">
        <v>0</v>
      </c>
      <c r="AF74" s="51" t="s">
        <v>0</v>
      </c>
    </row>
    <row r="75" spans="1:32" x14ac:dyDescent="0.25">
      <c r="A75" s="45" t="s">
        <v>0</v>
      </c>
      <c r="B75" s="46">
        <v>5</v>
      </c>
      <c r="C75" s="46">
        <v>3</v>
      </c>
      <c r="D75" s="46" t="s">
        <v>0</v>
      </c>
      <c r="E75" s="53"/>
      <c r="F75" s="53"/>
      <c r="G75" s="53"/>
      <c r="H75" s="91"/>
      <c r="I75" s="53"/>
      <c r="J75" s="53"/>
      <c r="K75" s="53"/>
      <c r="L75" s="53"/>
      <c r="M75" s="53"/>
      <c r="N75" s="53"/>
      <c r="O75" s="53"/>
      <c r="P75" s="53"/>
      <c r="Q75" s="53"/>
      <c r="R75" s="53"/>
      <c r="S75" s="869"/>
      <c r="T75" s="51" t="s">
        <v>0</v>
      </c>
      <c r="U75" s="51" t="s">
        <v>0</v>
      </c>
      <c r="V75" s="51" t="s">
        <v>0</v>
      </c>
      <c r="W75" s="60">
        <f t="shared" si="48"/>
        <v>1</v>
      </c>
      <c r="X75" s="51" t="s">
        <v>0</v>
      </c>
      <c r="Y75" s="51" t="s">
        <v>0</v>
      </c>
      <c r="Z75" s="51" t="s">
        <v>0</v>
      </c>
      <c r="AA75" s="51" t="s">
        <v>0</v>
      </c>
      <c r="AB75" s="51" t="s">
        <v>0</v>
      </c>
      <c r="AC75" s="51" t="s">
        <v>0</v>
      </c>
      <c r="AD75" s="51" t="s">
        <v>0</v>
      </c>
      <c r="AE75" s="51" t="s">
        <v>0</v>
      </c>
      <c r="AF75" s="51" t="s">
        <v>0</v>
      </c>
    </row>
    <row r="76" spans="1:32" ht="15" customHeight="1" x14ac:dyDescent="0.25">
      <c r="A76" s="45">
        <v>0</v>
      </c>
      <c r="B76" s="46">
        <f>15*2^A76</f>
        <v>15</v>
      </c>
      <c r="C76" s="857" t="s">
        <v>60</v>
      </c>
      <c r="D76" s="46" t="s">
        <v>0</v>
      </c>
      <c r="E76" s="53"/>
      <c r="F76" s="53"/>
      <c r="G76" s="53"/>
      <c r="H76" s="53"/>
      <c r="I76" s="91"/>
      <c r="J76" s="91"/>
      <c r="K76" s="91"/>
      <c r="L76" s="91"/>
      <c r="M76" s="91"/>
      <c r="N76" s="91"/>
      <c r="O76" s="91"/>
      <c r="P76" s="91"/>
      <c r="Q76" s="91"/>
      <c r="R76" s="53"/>
      <c r="S76" s="869"/>
      <c r="T76" s="51" t="s">
        <v>0</v>
      </c>
      <c r="U76" s="51" t="s">
        <v>0</v>
      </c>
      <c r="V76" s="51" t="s">
        <v>0</v>
      </c>
      <c r="W76" s="51" t="s">
        <v>0</v>
      </c>
      <c r="X76" s="92">
        <f>I65/($D$92*15/$B76)</f>
        <v>2</v>
      </c>
      <c r="Y76" s="92">
        <f t="shared" ref="Y76:AF76" si="49">J65/($D$92*15/$B76)</f>
        <v>4</v>
      </c>
      <c r="Z76" s="92">
        <f t="shared" si="49"/>
        <v>6</v>
      </c>
      <c r="AA76" s="92">
        <f t="shared" si="49"/>
        <v>2</v>
      </c>
      <c r="AB76" s="92">
        <f t="shared" si="49"/>
        <v>4</v>
      </c>
      <c r="AC76" s="92">
        <f t="shared" si="49"/>
        <v>6</v>
      </c>
      <c r="AD76" s="92">
        <f t="shared" si="49"/>
        <v>12</v>
      </c>
      <c r="AE76" s="92">
        <f t="shared" si="49"/>
        <v>2</v>
      </c>
      <c r="AF76" s="92">
        <f t="shared" si="49"/>
        <v>6</v>
      </c>
    </row>
    <row r="77" spans="1:32" ht="15" customHeight="1" x14ac:dyDescent="0.25">
      <c r="A77" s="45">
        <v>1</v>
      </c>
      <c r="B77" s="46">
        <f t="shared" ref="B77:B81" si="50">15*2^A77</f>
        <v>30</v>
      </c>
      <c r="C77" s="858"/>
      <c r="D77" s="46" t="s">
        <v>0</v>
      </c>
      <c r="E77" s="53"/>
      <c r="F77" s="53"/>
      <c r="G77" s="53"/>
      <c r="H77" s="53"/>
      <c r="I77" s="91"/>
      <c r="J77" s="91"/>
      <c r="K77" s="91"/>
      <c r="L77" s="91"/>
      <c r="M77" s="91"/>
      <c r="N77" s="91"/>
      <c r="O77" s="91"/>
      <c r="P77" s="91"/>
      <c r="Q77" s="91"/>
      <c r="R77" s="53"/>
      <c r="S77" s="869"/>
      <c r="T77" s="51" t="s">
        <v>0</v>
      </c>
      <c r="U77" s="51" t="s">
        <v>0</v>
      </c>
      <c r="V77" s="51" t="s">
        <v>0</v>
      </c>
      <c r="W77" s="51" t="s">
        <v>0</v>
      </c>
      <c r="X77" s="7">
        <f t="shared" ref="X77:AF77" si="51">I66/($D$92*15/$B77)</f>
        <v>2</v>
      </c>
      <c r="Y77" s="7">
        <f t="shared" si="51"/>
        <v>4</v>
      </c>
      <c r="Z77" s="7">
        <f t="shared" si="51"/>
        <v>6</v>
      </c>
      <c r="AA77" s="7">
        <f t="shared" si="51"/>
        <v>2</v>
      </c>
      <c r="AB77" s="7">
        <f t="shared" si="51"/>
        <v>4</v>
      </c>
      <c r="AC77" s="7">
        <f t="shared" si="51"/>
        <v>6</v>
      </c>
      <c r="AD77" s="7">
        <f t="shared" si="51"/>
        <v>12</v>
      </c>
      <c r="AE77" s="7">
        <f t="shared" si="51"/>
        <v>2</v>
      </c>
      <c r="AF77" s="7">
        <f t="shared" si="51"/>
        <v>6</v>
      </c>
    </row>
    <row r="78" spans="1:32" x14ac:dyDescent="0.25">
      <c r="A78" s="45">
        <v>2</v>
      </c>
      <c r="B78" s="46">
        <f t="shared" si="50"/>
        <v>60</v>
      </c>
      <c r="C78" s="858"/>
      <c r="D78" s="46" t="s">
        <v>0</v>
      </c>
      <c r="E78" s="53"/>
      <c r="F78" s="53"/>
      <c r="G78" s="53"/>
      <c r="H78" s="53"/>
      <c r="I78" s="53"/>
      <c r="J78" s="53"/>
      <c r="K78" s="53"/>
      <c r="L78" s="53"/>
      <c r="M78" s="53"/>
      <c r="N78" s="53"/>
      <c r="O78" s="53"/>
      <c r="P78" s="53"/>
      <c r="Q78" s="53"/>
      <c r="R78" s="53"/>
      <c r="S78" s="869"/>
      <c r="T78" s="51" t="s">
        <v>0</v>
      </c>
      <c r="U78" s="51" t="s">
        <v>0</v>
      </c>
      <c r="V78" s="51" t="s">
        <v>0</v>
      </c>
      <c r="W78" s="51" t="s">
        <v>0</v>
      </c>
      <c r="X78" s="7">
        <f t="shared" ref="X78:AF78" si="52">I67/($D$92*15/$B78)</f>
        <v>2</v>
      </c>
      <c r="Y78" s="7">
        <f t="shared" si="52"/>
        <v>4</v>
      </c>
      <c r="Z78" s="7">
        <f t="shared" si="52"/>
        <v>6</v>
      </c>
      <c r="AA78" s="7">
        <f t="shared" si="52"/>
        <v>2</v>
      </c>
      <c r="AB78" s="7">
        <f t="shared" si="52"/>
        <v>4</v>
      </c>
      <c r="AC78" s="7">
        <f t="shared" si="52"/>
        <v>6</v>
      </c>
      <c r="AD78" s="7">
        <f t="shared" si="52"/>
        <v>12</v>
      </c>
      <c r="AE78" s="7">
        <f t="shared" si="52"/>
        <v>2</v>
      </c>
      <c r="AF78" s="7">
        <f t="shared" si="52"/>
        <v>6</v>
      </c>
    </row>
    <row r="79" spans="1:32" x14ac:dyDescent="0.25">
      <c r="A79" s="45">
        <v>3</v>
      </c>
      <c r="B79" s="46">
        <f t="shared" si="50"/>
        <v>120</v>
      </c>
      <c r="C79" s="858"/>
      <c r="D79" s="46" t="s">
        <v>0</v>
      </c>
      <c r="E79" s="53"/>
      <c r="F79" s="53"/>
      <c r="G79" s="53"/>
      <c r="H79" s="53"/>
      <c r="I79" s="53"/>
      <c r="J79" s="53"/>
      <c r="K79" s="53"/>
      <c r="L79" s="53"/>
      <c r="M79" s="53"/>
      <c r="N79" s="53"/>
      <c r="O79" s="53"/>
      <c r="P79" s="53"/>
      <c r="Q79" s="53"/>
      <c r="R79" s="53"/>
      <c r="S79" s="869"/>
      <c r="T79" s="51" t="s">
        <v>0</v>
      </c>
      <c r="U79" s="51" t="s">
        <v>0</v>
      </c>
      <c r="V79" s="51" t="s">
        <v>0</v>
      </c>
      <c r="W79" s="51" t="s">
        <v>0</v>
      </c>
      <c r="X79" s="7">
        <f t="shared" ref="X79:AF79" si="53">I68/($D$92*15/$B79)</f>
        <v>2</v>
      </c>
      <c r="Y79" s="7">
        <f t="shared" si="53"/>
        <v>4</v>
      </c>
      <c r="Z79" s="7">
        <f t="shared" si="53"/>
        <v>6</v>
      </c>
      <c r="AA79" s="7">
        <f t="shared" si="53"/>
        <v>2</v>
      </c>
      <c r="AB79" s="7">
        <f t="shared" si="53"/>
        <v>4</v>
      </c>
      <c r="AC79" s="7">
        <f t="shared" si="53"/>
        <v>6</v>
      </c>
      <c r="AD79" s="7">
        <f t="shared" si="53"/>
        <v>12</v>
      </c>
      <c r="AE79" s="7">
        <f t="shared" si="53"/>
        <v>2</v>
      </c>
      <c r="AF79" s="7">
        <f t="shared" si="53"/>
        <v>6</v>
      </c>
    </row>
    <row r="80" spans="1:32" x14ac:dyDescent="0.25">
      <c r="A80" s="45">
        <v>5</v>
      </c>
      <c r="B80" s="46">
        <f t="shared" si="50"/>
        <v>480</v>
      </c>
      <c r="C80" s="858"/>
      <c r="D80" s="46" t="s">
        <v>0</v>
      </c>
      <c r="E80" s="53"/>
      <c r="F80" s="53"/>
      <c r="G80" s="53"/>
      <c r="H80" s="53"/>
      <c r="I80" s="53"/>
      <c r="J80" s="53"/>
      <c r="K80" s="53"/>
      <c r="L80" s="53"/>
      <c r="M80" s="53"/>
      <c r="N80" s="53"/>
      <c r="O80" s="53"/>
      <c r="P80" s="53"/>
      <c r="Q80" s="53"/>
      <c r="R80" s="53"/>
      <c r="S80" s="869"/>
      <c r="T80" s="51" t="s">
        <v>0</v>
      </c>
      <c r="U80" s="51" t="s">
        <v>0</v>
      </c>
      <c r="V80" s="51" t="s">
        <v>0</v>
      </c>
      <c r="W80" s="51" t="s">
        <v>0</v>
      </c>
      <c r="X80" s="7">
        <f t="shared" ref="X80:AF80" si="54">I69/($D$92*15/$B80)</f>
        <v>2</v>
      </c>
      <c r="Y80" s="7">
        <f t="shared" si="54"/>
        <v>4</v>
      </c>
      <c r="Z80" s="7">
        <f t="shared" si="54"/>
        <v>6</v>
      </c>
      <c r="AA80" s="7">
        <f t="shared" si="54"/>
        <v>2</v>
      </c>
      <c r="AB80" s="7">
        <f t="shared" si="54"/>
        <v>4</v>
      </c>
      <c r="AC80" s="7">
        <f t="shared" si="54"/>
        <v>6</v>
      </c>
      <c r="AD80" s="7">
        <f t="shared" si="54"/>
        <v>12</v>
      </c>
      <c r="AE80" s="7">
        <f t="shared" si="54"/>
        <v>2</v>
      </c>
      <c r="AF80" s="7">
        <f t="shared" si="54"/>
        <v>6</v>
      </c>
    </row>
    <row r="81" spans="1:32" x14ac:dyDescent="0.25">
      <c r="A81" s="45">
        <v>6</v>
      </c>
      <c r="B81" s="46">
        <f t="shared" si="50"/>
        <v>960</v>
      </c>
      <c r="C81" s="859"/>
      <c r="D81" s="46" t="s">
        <v>0</v>
      </c>
      <c r="E81" s="53"/>
      <c r="F81" s="53"/>
      <c r="G81" s="53"/>
      <c r="H81" s="53"/>
      <c r="I81" s="53"/>
      <c r="J81" s="53"/>
      <c r="K81" s="53"/>
      <c r="L81" s="53"/>
      <c r="M81" s="53"/>
      <c r="N81" s="53"/>
      <c r="O81" s="53"/>
      <c r="P81" s="53"/>
      <c r="Q81" s="53"/>
      <c r="R81" s="53"/>
      <c r="S81" s="870"/>
      <c r="T81" s="51" t="s">
        <v>0</v>
      </c>
      <c r="U81" s="51" t="s">
        <v>0</v>
      </c>
      <c r="V81" s="51" t="s">
        <v>0</v>
      </c>
      <c r="W81" s="51" t="s">
        <v>0</v>
      </c>
      <c r="X81" s="7">
        <f t="shared" ref="X81:AF81" si="55">I70/($D$92*15/$B81)</f>
        <v>2</v>
      </c>
      <c r="Y81" s="7">
        <f t="shared" si="55"/>
        <v>4</v>
      </c>
      <c r="Z81" s="7">
        <f t="shared" si="55"/>
        <v>6</v>
      </c>
      <c r="AA81" s="7">
        <f t="shared" si="55"/>
        <v>2</v>
      </c>
      <c r="AB81" s="7">
        <f t="shared" si="55"/>
        <v>4</v>
      </c>
      <c r="AC81" s="7">
        <f t="shared" si="55"/>
        <v>6</v>
      </c>
      <c r="AD81" s="7">
        <f t="shared" si="55"/>
        <v>12</v>
      </c>
      <c r="AE81" s="7">
        <f t="shared" si="55"/>
        <v>2</v>
      </c>
      <c r="AF81" s="7">
        <f t="shared" si="55"/>
        <v>6</v>
      </c>
    </row>
    <row r="82" spans="1:32" x14ac:dyDescent="0.25">
      <c r="R82" s="53"/>
    </row>
    <row r="83" spans="1:32" x14ac:dyDescent="0.25">
      <c r="R83" s="53"/>
    </row>
    <row r="84" spans="1:32" x14ac:dyDescent="0.25">
      <c r="R84" s="53"/>
    </row>
    <row r="86" spans="1:32" x14ac:dyDescent="0.25">
      <c r="B86" s="31" t="s">
        <v>57</v>
      </c>
      <c r="C86" s="31" t="s">
        <v>75</v>
      </c>
      <c r="D86" s="31" t="s">
        <v>79</v>
      </c>
      <c r="E86" s="31" t="s">
        <v>73</v>
      </c>
      <c r="F86" s="31" t="s">
        <v>74</v>
      </c>
    </row>
    <row r="87" spans="1:32" x14ac:dyDescent="0.25">
      <c r="A87" s="15" t="s">
        <v>50</v>
      </c>
      <c r="B87" s="49">
        <f>1/(480000*4096)</f>
        <v>5.0862630208333336E-10</v>
      </c>
      <c r="C87" s="49">
        <f t="shared" ref="C87:F88" si="56">B87*1000</f>
        <v>5.0862630208333333E-7</v>
      </c>
      <c r="D87" s="49">
        <f t="shared" si="56"/>
        <v>5.0862630208333337E-4</v>
      </c>
      <c r="E87" s="48">
        <f t="shared" si="56"/>
        <v>0.50862630208333337</v>
      </c>
      <c r="F87" s="50">
        <f t="shared" si="56"/>
        <v>508.62630208333337</v>
      </c>
    </row>
    <row r="88" spans="1:32" x14ac:dyDescent="0.25">
      <c r="A88" s="15" t="s">
        <v>52</v>
      </c>
      <c r="B88" s="49">
        <f>B87*64</f>
        <v>3.2552083333333335E-8</v>
      </c>
      <c r="C88" s="49">
        <f t="shared" si="56"/>
        <v>3.2552083333333333E-5</v>
      </c>
      <c r="D88" s="49">
        <f t="shared" si="56"/>
        <v>3.2552083333333336E-2</v>
      </c>
      <c r="E88" s="48">
        <f t="shared" si="56"/>
        <v>32.552083333333336</v>
      </c>
      <c r="F88" s="44">
        <f t="shared" si="56"/>
        <v>32552.083333333336</v>
      </c>
      <c r="U88" s="66"/>
    </row>
    <row r="90" spans="1:32" x14ac:dyDescent="0.25">
      <c r="C90" s="871" t="s">
        <v>150</v>
      </c>
      <c r="D90" s="872"/>
    </row>
    <row r="91" spans="1:32" x14ac:dyDescent="0.25">
      <c r="C91" s="31" t="s">
        <v>151</v>
      </c>
      <c r="D91" s="31" t="s">
        <v>152</v>
      </c>
    </row>
    <row r="92" spans="1:32" x14ac:dyDescent="0.25">
      <c r="A92" s="57" t="s">
        <v>153</v>
      </c>
      <c r="B92" s="94"/>
      <c r="C92" s="95">
        <f>D92/1000</f>
        <v>7.1354166666666677E-2</v>
      </c>
      <c r="D92" s="55">
        <f>'Times and throughputs'!E26+'Times and throughputs'!G26</f>
        <v>71.354166666666671</v>
      </c>
    </row>
    <row r="93" spans="1:32" x14ac:dyDescent="0.25">
      <c r="A93" s="57" t="s">
        <v>154</v>
      </c>
      <c r="B93" s="94"/>
      <c r="C93" s="95">
        <f>1/14</f>
        <v>7.1428571428571425E-2</v>
      </c>
      <c r="D93" s="58">
        <f>C93*1000</f>
        <v>71.428571428571431</v>
      </c>
    </row>
    <row r="96" spans="1:32" x14ac:dyDescent="0.25">
      <c r="A96" s="69" t="s">
        <v>113</v>
      </c>
      <c r="B96" s="69"/>
      <c r="C96" s="69"/>
      <c r="D96" s="69"/>
    </row>
    <row r="97" spans="1:16" x14ac:dyDescent="0.25">
      <c r="A97" s="69" t="s">
        <v>111</v>
      </c>
      <c r="B97" s="69"/>
      <c r="C97" s="69"/>
      <c r="D97" s="71">
        <v>56</v>
      </c>
    </row>
    <row r="98" spans="1:16" ht="15" customHeight="1" x14ac:dyDescent="0.25">
      <c r="A98" s="72"/>
      <c r="B98" s="73"/>
      <c r="C98" s="45" t="s">
        <v>63</v>
      </c>
      <c r="D98" s="47">
        <v>0</v>
      </c>
      <c r="E98" s="47">
        <v>1</v>
      </c>
      <c r="F98" s="47">
        <v>2</v>
      </c>
      <c r="G98" s="47">
        <v>3</v>
      </c>
      <c r="H98" s="45" t="s">
        <v>45</v>
      </c>
      <c r="I98" s="45" t="s">
        <v>61</v>
      </c>
      <c r="J98" s="45" t="s">
        <v>62</v>
      </c>
      <c r="K98" s="45" t="s">
        <v>64</v>
      </c>
      <c r="L98" s="45" t="s">
        <v>65</v>
      </c>
      <c r="M98" s="45" t="s">
        <v>66</v>
      </c>
      <c r="N98" s="45" t="s">
        <v>67</v>
      </c>
      <c r="O98" s="45" t="s">
        <v>68</v>
      </c>
      <c r="P98" s="45" t="s">
        <v>69</v>
      </c>
    </row>
    <row r="99" spans="1:16" ht="45" x14ac:dyDescent="0.25">
      <c r="C99" s="47" t="s">
        <v>112</v>
      </c>
      <c r="D99" s="70">
        <f>$G$4</f>
        <v>627.19999999999993</v>
      </c>
      <c r="E99" s="70">
        <f t="shared" ref="E99:F99" si="57">$G$4</f>
        <v>627.19999999999993</v>
      </c>
      <c r="F99" s="70">
        <f t="shared" si="57"/>
        <v>627.19999999999993</v>
      </c>
      <c r="G99" s="70">
        <f>$G$5</f>
        <v>156.79999999999998</v>
      </c>
      <c r="H99" s="70">
        <f>$G$6</f>
        <v>52.266666666666666</v>
      </c>
      <c r="I99" s="70">
        <f t="shared" ref="I99:P99" si="58">$G$6</f>
        <v>52.266666666666666</v>
      </c>
      <c r="J99" s="70">
        <f t="shared" si="58"/>
        <v>52.266666666666666</v>
      </c>
      <c r="K99" s="70">
        <f t="shared" si="58"/>
        <v>52.266666666666666</v>
      </c>
      <c r="L99" s="70">
        <f t="shared" si="58"/>
        <v>52.266666666666666</v>
      </c>
      <c r="M99" s="70">
        <f t="shared" si="58"/>
        <v>52.266666666666666</v>
      </c>
      <c r="N99" s="70">
        <f t="shared" si="58"/>
        <v>52.266666666666666</v>
      </c>
      <c r="O99" s="70">
        <f t="shared" si="58"/>
        <v>52.266666666666666</v>
      </c>
      <c r="P99" s="70">
        <f t="shared" si="58"/>
        <v>52.266666666666666</v>
      </c>
    </row>
    <row r="100" spans="1:16" ht="45" x14ac:dyDescent="0.25">
      <c r="A100" s="74"/>
      <c r="B100" s="74"/>
      <c r="C100" s="47" t="s">
        <v>109</v>
      </c>
      <c r="D100" s="70">
        <f t="shared" ref="D100:P100" si="59">E27*$D$97*$D$88/$D$93</f>
        <v>80.849999999999994</v>
      </c>
      <c r="E100" s="70">
        <f t="shared" si="59"/>
        <v>536.54999999999995</v>
      </c>
      <c r="F100" s="70">
        <f t="shared" si="59"/>
        <v>119.64166666666667</v>
      </c>
      <c r="G100" s="70">
        <f t="shared" si="59"/>
        <v>80.849999999999994</v>
      </c>
      <c r="H100" s="70">
        <f t="shared" si="59"/>
        <v>7.35</v>
      </c>
      <c r="I100" s="70">
        <f t="shared" si="59"/>
        <v>14.7</v>
      </c>
      <c r="J100" s="70">
        <f t="shared" si="59"/>
        <v>22.05</v>
      </c>
      <c r="K100" s="70">
        <f t="shared" si="59"/>
        <v>5.5125000000000002</v>
      </c>
      <c r="L100" s="70">
        <f t="shared" si="59"/>
        <v>9.1875</v>
      </c>
      <c r="M100" s="70">
        <f t="shared" si="59"/>
        <v>12.862500000000001</v>
      </c>
      <c r="N100" s="70">
        <f t="shared" si="59"/>
        <v>23.887500000000003</v>
      </c>
      <c r="O100" s="70">
        <f t="shared" si="59"/>
        <v>31.645833333333336</v>
      </c>
      <c r="P100" s="70">
        <f t="shared" si="59"/>
        <v>52.266666666666666</v>
      </c>
    </row>
    <row r="101" spans="1:16" ht="45" x14ac:dyDescent="0.25">
      <c r="C101" s="47" t="s">
        <v>110</v>
      </c>
      <c r="D101" s="70">
        <f t="shared" ref="D101:P101" si="60">E51*$D$97*$D$88/$D$93</f>
        <v>75.95</v>
      </c>
      <c r="E101" s="70">
        <f t="shared" si="60"/>
        <v>561.04999999999995</v>
      </c>
      <c r="F101" s="70">
        <f t="shared" si="60"/>
        <v>746.8416666666667</v>
      </c>
      <c r="G101" s="70">
        <f t="shared" si="60"/>
        <v>75.95</v>
      </c>
      <c r="H101" s="70">
        <f t="shared" si="60"/>
        <v>0</v>
      </c>
      <c r="I101" s="70">
        <f t="shared" si="60"/>
        <v>0</v>
      </c>
      <c r="J101" s="70">
        <f t="shared" si="60"/>
        <v>0</v>
      </c>
      <c r="K101" s="70">
        <f t="shared" si="60"/>
        <v>1.8374999999999999</v>
      </c>
      <c r="L101" s="70">
        <f t="shared" si="60"/>
        <v>5.5125000000000002</v>
      </c>
      <c r="M101" s="70">
        <f t="shared" si="60"/>
        <v>9.1875</v>
      </c>
      <c r="N101" s="70">
        <f t="shared" si="60"/>
        <v>20.212499999999999</v>
      </c>
      <c r="O101" s="70">
        <f t="shared" si="60"/>
        <v>27.970833333333335</v>
      </c>
      <c r="P101" s="70">
        <f t="shared" si="60"/>
        <v>74.316666666666677</v>
      </c>
    </row>
  </sheetData>
  <mergeCells count="30">
    <mergeCell ref="E72:Q72"/>
    <mergeCell ref="T72:AF72"/>
    <mergeCell ref="C76:C81"/>
    <mergeCell ref="S74:S81"/>
    <mergeCell ref="C90:D90"/>
    <mergeCell ref="B14:B15"/>
    <mergeCell ref="C14:C15"/>
    <mergeCell ref="A14:A15"/>
    <mergeCell ref="C26:C27"/>
    <mergeCell ref="A50:A51"/>
    <mergeCell ref="B50:B51"/>
    <mergeCell ref="C50:C51"/>
    <mergeCell ref="A26:A27"/>
    <mergeCell ref="B26:B27"/>
    <mergeCell ref="C41:C46"/>
    <mergeCell ref="C30:C35"/>
    <mergeCell ref="C6:C11"/>
    <mergeCell ref="C18:C23"/>
    <mergeCell ref="T25:AF25"/>
    <mergeCell ref="E13:Q13"/>
    <mergeCell ref="T13:AF13"/>
    <mergeCell ref="E25:Q25"/>
    <mergeCell ref="E37:Q37"/>
    <mergeCell ref="T37:AF37"/>
    <mergeCell ref="E61:Q61"/>
    <mergeCell ref="T61:AF61"/>
    <mergeCell ref="C65:C70"/>
    <mergeCell ref="C54:C59"/>
    <mergeCell ref="T49:AF49"/>
    <mergeCell ref="E49:Q49"/>
  </mergeCells>
  <phoneticPr fontId="9" type="noConversion"/>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CF75E-CB41-4722-9A72-1C7F6A55D40B}">
  <dimension ref="A1:S44"/>
  <sheetViews>
    <sheetView tabSelected="1" workbookViewId="0">
      <selection activeCell="S5" sqref="S5:Y32"/>
    </sheetView>
  </sheetViews>
  <sheetFormatPr baseColWidth="10" defaultColWidth="11.42578125" defaultRowHeight="12.75" x14ac:dyDescent="0.2"/>
  <cols>
    <col min="1" max="1" width="11.42578125" style="214" customWidth="1"/>
    <col min="2" max="2" width="12.85546875" style="214" customWidth="1"/>
    <col min="3" max="3" width="14.140625" style="214" customWidth="1"/>
    <col min="4" max="4" width="14.42578125" style="214" customWidth="1"/>
    <col min="5" max="5" width="11.42578125" style="214"/>
    <col min="6" max="6" width="8.5703125" style="214" customWidth="1"/>
    <col min="7" max="7" width="13.85546875" style="214" customWidth="1"/>
    <col min="8" max="16384" width="11.42578125" style="214"/>
  </cols>
  <sheetData>
    <row r="1" spans="1:19" ht="18.75" x14ac:dyDescent="0.3">
      <c r="A1" s="4" t="s">
        <v>282</v>
      </c>
    </row>
    <row r="2" spans="1:19" x14ac:dyDescent="0.2">
      <c r="G2" s="243"/>
    </row>
    <row r="3" spans="1:19" x14ac:dyDescent="0.2">
      <c r="G3" s="243" t="s">
        <v>295</v>
      </c>
    </row>
    <row r="4" spans="1:19" ht="29.25" customHeight="1" x14ac:dyDescent="0.25">
      <c r="A4" s="243" t="s">
        <v>291</v>
      </c>
      <c r="G4" s="873" t="s">
        <v>296</v>
      </c>
      <c r="H4" s="874"/>
      <c r="I4" s="874"/>
    </row>
    <row r="5" spans="1:19" ht="42" thickBot="1" x14ac:dyDescent="0.25">
      <c r="A5" s="239" t="s">
        <v>283</v>
      </c>
      <c r="B5" s="240" t="s">
        <v>284</v>
      </c>
      <c r="C5" s="240" t="s">
        <v>285</v>
      </c>
      <c r="D5" s="241" t="s">
        <v>286</v>
      </c>
      <c r="E5" s="241" t="s">
        <v>287</v>
      </c>
      <c r="G5" s="87" t="s">
        <v>289</v>
      </c>
      <c r="H5" s="87" t="s">
        <v>290</v>
      </c>
      <c r="I5" s="87" t="s">
        <v>288</v>
      </c>
    </row>
    <row r="6" spans="1:19" ht="14.25" thickTop="1" thickBot="1" x14ac:dyDescent="0.25">
      <c r="A6" s="237">
        <v>839</v>
      </c>
      <c r="B6" s="238">
        <v>1.25</v>
      </c>
      <c r="C6" s="238">
        <v>15</v>
      </c>
      <c r="D6" s="238">
        <v>6</v>
      </c>
      <c r="E6" s="238">
        <v>7</v>
      </c>
      <c r="G6" s="244">
        <f t="shared" ref="G6:G44" si="0">D6*12*C6-A6*B6-2*E6*B6</f>
        <v>13.75</v>
      </c>
      <c r="H6" s="245">
        <f>G6/(12*$C6)</f>
        <v>7.6388888888888895E-2</v>
      </c>
      <c r="I6" s="246">
        <f>G6/$B6</f>
        <v>11</v>
      </c>
      <c r="J6" s="214" t="s">
        <v>294</v>
      </c>
      <c r="S6" s="251"/>
    </row>
    <row r="7" spans="1:19" ht="13.5" thickBot="1" x14ac:dyDescent="0.25">
      <c r="A7" s="237">
        <v>839</v>
      </c>
      <c r="B7" s="238">
        <v>1.25</v>
      </c>
      <c r="C7" s="238">
        <v>30</v>
      </c>
      <c r="D7" s="238">
        <v>3</v>
      </c>
      <c r="E7" s="238">
        <v>1</v>
      </c>
      <c r="G7" s="244">
        <f t="shared" si="0"/>
        <v>28.75</v>
      </c>
      <c r="H7" s="245">
        <f t="shared" ref="H7:H44" si="1">G7/(12*$C7)</f>
        <v>7.9861111111111105E-2</v>
      </c>
      <c r="I7" s="246">
        <f t="shared" ref="I7:I44" si="2">G7/$B7</f>
        <v>23</v>
      </c>
      <c r="J7" s="214" t="s">
        <v>294</v>
      </c>
    </row>
    <row r="8" spans="1:19" ht="13.5" thickBot="1" x14ac:dyDescent="0.25">
      <c r="A8" s="237">
        <v>839</v>
      </c>
      <c r="B8" s="238">
        <v>1.25</v>
      </c>
      <c r="C8" s="238">
        <v>60</v>
      </c>
      <c r="D8" s="238">
        <v>2</v>
      </c>
      <c r="E8" s="238">
        <v>133</v>
      </c>
      <c r="G8" s="244">
        <f t="shared" si="0"/>
        <v>58.75</v>
      </c>
      <c r="H8" s="245">
        <f t="shared" si="1"/>
        <v>8.1597222222222224E-2</v>
      </c>
      <c r="I8" s="246">
        <f t="shared" si="2"/>
        <v>47</v>
      </c>
      <c r="J8" s="214" t="s">
        <v>294</v>
      </c>
    </row>
    <row r="9" spans="1:19" ht="13.5" thickBot="1" x14ac:dyDescent="0.25">
      <c r="A9" s="237">
        <v>839</v>
      </c>
      <c r="B9" s="238">
        <v>5</v>
      </c>
      <c r="C9" s="238">
        <v>15</v>
      </c>
      <c r="D9" s="238">
        <v>24</v>
      </c>
      <c r="E9" s="238">
        <v>12</v>
      </c>
      <c r="G9" s="244">
        <f t="shared" si="0"/>
        <v>5</v>
      </c>
      <c r="H9" s="245">
        <f t="shared" si="1"/>
        <v>2.7777777777777776E-2</v>
      </c>
      <c r="I9" s="246">
        <f t="shared" si="2"/>
        <v>1</v>
      </c>
      <c r="J9" s="214" t="s">
        <v>294</v>
      </c>
    </row>
    <row r="10" spans="1:19" ht="13.5" thickBot="1" x14ac:dyDescent="0.25">
      <c r="A10" s="237">
        <v>839</v>
      </c>
      <c r="B10" s="238">
        <v>5</v>
      </c>
      <c r="C10" s="238">
        <v>30</v>
      </c>
      <c r="D10" s="238">
        <v>12</v>
      </c>
      <c r="E10" s="238">
        <v>10</v>
      </c>
      <c r="G10" s="244">
        <f t="shared" si="0"/>
        <v>25</v>
      </c>
      <c r="H10" s="245">
        <f t="shared" si="1"/>
        <v>6.9444444444444448E-2</v>
      </c>
      <c r="I10" s="246">
        <f t="shared" si="2"/>
        <v>5</v>
      </c>
      <c r="J10" s="214" t="s">
        <v>294</v>
      </c>
    </row>
    <row r="11" spans="1:19" ht="13.5" thickBot="1" x14ac:dyDescent="0.25">
      <c r="A11" s="237">
        <v>839</v>
      </c>
      <c r="B11" s="238">
        <v>5</v>
      </c>
      <c r="C11" s="238">
        <v>60</v>
      </c>
      <c r="D11" s="238">
        <v>6</v>
      </c>
      <c r="E11" s="238">
        <v>7</v>
      </c>
      <c r="G11" s="244">
        <f t="shared" si="0"/>
        <v>55</v>
      </c>
      <c r="H11" s="245">
        <f t="shared" si="1"/>
        <v>7.6388888888888895E-2</v>
      </c>
      <c r="I11" s="246">
        <f t="shared" si="2"/>
        <v>11</v>
      </c>
      <c r="J11" s="214" t="s">
        <v>294</v>
      </c>
    </row>
    <row r="12" spans="1:19" ht="13.5" thickBot="1" x14ac:dyDescent="0.25">
      <c r="A12" s="237">
        <v>139</v>
      </c>
      <c r="B12" s="238">
        <v>15</v>
      </c>
      <c r="C12" s="238">
        <v>15</v>
      </c>
      <c r="D12" s="238">
        <v>12</v>
      </c>
      <c r="E12" s="238">
        <v>2</v>
      </c>
      <c r="G12" s="244">
        <f t="shared" si="0"/>
        <v>15</v>
      </c>
      <c r="H12" s="245">
        <f t="shared" si="1"/>
        <v>8.3333333333333329E-2</v>
      </c>
      <c r="I12" s="246">
        <f t="shared" si="2"/>
        <v>1</v>
      </c>
      <c r="J12" s="214" t="s">
        <v>293</v>
      </c>
    </row>
    <row r="13" spans="1:19" ht="13.5" thickBot="1" x14ac:dyDescent="0.25">
      <c r="A13" s="237">
        <v>139</v>
      </c>
      <c r="B13" s="238">
        <v>15</v>
      </c>
      <c r="C13" s="238">
        <v>30</v>
      </c>
      <c r="D13" s="238">
        <v>6</v>
      </c>
      <c r="E13" s="238">
        <v>2</v>
      </c>
      <c r="G13" s="244">
        <f t="shared" si="0"/>
        <v>15</v>
      </c>
      <c r="H13" s="245">
        <f t="shared" si="1"/>
        <v>4.1666666666666664E-2</v>
      </c>
      <c r="I13" s="246">
        <f t="shared" si="2"/>
        <v>1</v>
      </c>
      <c r="J13" s="214" t="s">
        <v>293</v>
      </c>
    </row>
    <row r="14" spans="1:19" ht="13.5" thickBot="1" x14ac:dyDescent="0.25">
      <c r="A14" s="237">
        <v>139</v>
      </c>
      <c r="B14" s="238">
        <v>15</v>
      </c>
      <c r="C14" s="238">
        <v>60</v>
      </c>
      <c r="D14" s="238">
        <v>3</v>
      </c>
      <c r="E14" s="238">
        <v>2</v>
      </c>
      <c r="G14" s="244">
        <f t="shared" si="0"/>
        <v>15</v>
      </c>
      <c r="H14" s="245">
        <f t="shared" si="1"/>
        <v>2.0833333333333332E-2</v>
      </c>
      <c r="I14" s="246">
        <f t="shared" si="2"/>
        <v>1</v>
      </c>
      <c r="J14" s="214" t="s">
        <v>293</v>
      </c>
    </row>
    <row r="15" spans="1:19" ht="13.5" thickBot="1" x14ac:dyDescent="0.25">
      <c r="A15" s="237">
        <v>139</v>
      </c>
      <c r="B15" s="238">
        <v>30</v>
      </c>
      <c r="C15" s="238">
        <v>15</v>
      </c>
      <c r="D15" s="238">
        <v>24</v>
      </c>
      <c r="E15" s="238">
        <v>2</v>
      </c>
      <c r="G15" s="244">
        <f t="shared" si="0"/>
        <v>30</v>
      </c>
      <c r="H15" s="245">
        <f t="shared" si="1"/>
        <v>0.16666666666666666</v>
      </c>
      <c r="I15" s="246">
        <f t="shared" si="2"/>
        <v>1</v>
      </c>
      <c r="J15" s="214" t="s">
        <v>293</v>
      </c>
    </row>
    <row r="16" spans="1:19" ht="13.5" thickBot="1" x14ac:dyDescent="0.25">
      <c r="A16" s="237">
        <v>139</v>
      </c>
      <c r="B16" s="238">
        <v>30</v>
      </c>
      <c r="C16" s="238">
        <v>30</v>
      </c>
      <c r="D16" s="238">
        <v>12</v>
      </c>
      <c r="E16" s="238">
        <v>2</v>
      </c>
      <c r="G16" s="244">
        <f t="shared" si="0"/>
        <v>30</v>
      </c>
      <c r="H16" s="245">
        <f t="shared" si="1"/>
        <v>8.3333333333333329E-2</v>
      </c>
      <c r="I16" s="246">
        <f t="shared" si="2"/>
        <v>1</v>
      </c>
      <c r="J16" s="214" t="s">
        <v>293</v>
      </c>
    </row>
    <row r="17" spans="1:10" ht="13.5" thickBot="1" x14ac:dyDescent="0.25">
      <c r="A17" s="237">
        <v>139</v>
      </c>
      <c r="B17" s="238">
        <v>30</v>
      </c>
      <c r="C17" s="238">
        <v>60</v>
      </c>
      <c r="D17" s="238">
        <v>6</v>
      </c>
      <c r="E17" s="238">
        <v>2</v>
      </c>
      <c r="G17" s="244">
        <f t="shared" si="0"/>
        <v>30</v>
      </c>
      <c r="H17" s="245">
        <f t="shared" si="1"/>
        <v>4.1666666666666664E-2</v>
      </c>
      <c r="I17" s="246">
        <f t="shared" si="2"/>
        <v>1</v>
      </c>
      <c r="J17" s="214" t="s">
        <v>293</v>
      </c>
    </row>
    <row r="18" spans="1:10" ht="13.5" thickBot="1" x14ac:dyDescent="0.25">
      <c r="A18" s="237">
        <v>139</v>
      </c>
      <c r="B18" s="238">
        <v>60</v>
      </c>
      <c r="C18" s="238">
        <v>60</v>
      </c>
      <c r="D18" s="238">
        <v>12</v>
      </c>
      <c r="E18" s="238">
        <v>2</v>
      </c>
      <c r="G18" s="244">
        <f t="shared" si="0"/>
        <v>60</v>
      </c>
      <c r="H18" s="245">
        <f t="shared" si="1"/>
        <v>8.3333333333333329E-2</v>
      </c>
      <c r="I18" s="246">
        <f t="shared" si="2"/>
        <v>1</v>
      </c>
      <c r="J18" s="214" t="s">
        <v>293</v>
      </c>
    </row>
    <row r="19" spans="1:10" ht="13.5" thickBot="1" x14ac:dyDescent="0.25">
      <c r="A19" s="237">
        <v>139</v>
      </c>
      <c r="B19" s="238">
        <v>60</v>
      </c>
      <c r="C19" s="238">
        <v>120</v>
      </c>
      <c r="D19" s="238">
        <v>6</v>
      </c>
      <c r="E19" s="238">
        <v>2</v>
      </c>
      <c r="G19" s="244">
        <f t="shared" si="0"/>
        <v>60</v>
      </c>
      <c r="H19" s="245">
        <f t="shared" si="1"/>
        <v>4.1666666666666664E-2</v>
      </c>
      <c r="I19" s="246">
        <f t="shared" si="2"/>
        <v>1</v>
      </c>
      <c r="J19" s="214" t="s">
        <v>293</v>
      </c>
    </row>
    <row r="20" spans="1:10" ht="13.5" thickBot="1" x14ac:dyDescent="0.25">
      <c r="A20" s="237">
        <v>139</v>
      </c>
      <c r="B20" s="238">
        <v>120</v>
      </c>
      <c r="C20" s="238">
        <v>60</v>
      </c>
      <c r="D20" s="238">
        <v>24</v>
      </c>
      <c r="E20" s="238">
        <v>2</v>
      </c>
      <c r="G20" s="244">
        <f t="shared" si="0"/>
        <v>120</v>
      </c>
      <c r="H20" s="245">
        <f t="shared" si="1"/>
        <v>0.16666666666666666</v>
      </c>
      <c r="I20" s="246">
        <f t="shared" si="2"/>
        <v>1</v>
      </c>
      <c r="J20" s="214" t="s">
        <v>293</v>
      </c>
    </row>
    <row r="21" spans="1:10" ht="13.5" thickBot="1" x14ac:dyDescent="0.25">
      <c r="A21" s="237">
        <v>139</v>
      </c>
      <c r="B21" s="238">
        <v>120</v>
      </c>
      <c r="C21" s="238">
        <v>120</v>
      </c>
      <c r="D21" s="238">
        <v>12</v>
      </c>
      <c r="E21" s="238">
        <v>2</v>
      </c>
      <c r="G21" s="244">
        <f t="shared" si="0"/>
        <v>120</v>
      </c>
      <c r="H21" s="245">
        <f t="shared" si="1"/>
        <v>8.3333333333333329E-2</v>
      </c>
      <c r="I21" s="246">
        <f t="shared" si="2"/>
        <v>1</v>
      </c>
      <c r="J21" s="214" t="s">
        <v>293</v>
      </c>
    </row>
    <row r="22" spans="1:10" ht="13.5" thickBot="1" x14ac:dyDescent="0.25">
      <c r="A22" s="237">
        <v>139</v>
      </c>
      <c r="B22" s="238">
        <v>120</v>
      </c>
      <c r="C22" s="238">
        <v>480</v>
      </c>
      <c r="D22" s="238">
        <v>3</v>
      </c>
      <c r="E22" s="238">
        <v>1</v>
      </c>
      <c r="G22" s="244">
        <f t="shared" si="0"/>
        <v>360</v>
      </c>
      <c r="H22" s="245">
        <f t="shared" si="1"/>
        <v>6.25E-2</v>
      </c>
      <c r="I22" s="250">
        <f t="shared" si="2"/>
        <v>3</v>
      </c>
      <c r="J22" s="214" t="s">
        <v>292</v>
      </c>
    </row>
    <row r="23" spans="1:10" ht="13.5" thickBot="1" x14ac:dyDescent="0.25">
      <c r="A23" s="237">
        <v>139</v>
      </c>
      <c r="B23" s="238">
        <v>120</v>
      </c>
      <c r="C23" s="238">
        <v>960</v>
      </c>
      <c r="D23" s="238">
        <v>2</v>
      </c>
      <c r="E23" s="238">
        <v>23</v>
      </c>
      <c r="G23" s="244">
        <f t="shared" si="0"/>
        <v>840</v>
      </c>
      <c r="H23" s="245">
        <f t="shared" si="1"/>
        <v>7.2916666666666671E-2</v>
      </c>
      <c r="I23" s="250">
        <f t="shared" si="2"/>
        <v>7</v>
      </c>
      <c r="J23" s="214" t="s">
        <v>292</v>
      </c>
    </row>
    <row r="24" spans="1:10" ht="13.5" thickBot="1" x14ac:dyDescent="0.25">
      <c r="A24" s="237">
        <v>139</v>
      </c>
      <c r="B24" s="238">
        <v>480</v>
      </c>
      <c r="C24" s="238">
        <v>120</v>
      </c>
      <c r="D24" s="238">
        <v>48</v>
      </c>
      <c r="E24" s="238">
        <v>2</v>
      </c>
      <c r="G24" s="244">
        <f t="shared" si="0"/>
        <v>480</v>
      </c>
      <c r="H24" s="245">
        <f t="shared" si="1"/>
        <v>0.33333333333333331</v>
      </c>
      <c r="I24" s="246">
        <f t="shared" si="2"/>
        <v>1</v>
      </c>
      <c r="J24" s="214" t="s">
        <v>293</v>
      </c>
    </row>
    <row r="25" spans="1:10" ht="13.5" thickBot="1" x14ac:dyDescent="0.25">
      <c r="A25" s="237">
        <v>139</v>
      </c>
      <c r="B25" s="238">
        <v>480</v>
      </c>
      <c r="C25" s="238">
        <v>480</v>
      </c>
      <c r="D25" s="238">
        <v>12</v>
      </c>
      <c r="E25" s="238">
        <v>2</v>
      </c>
      <c r="G25" s="244">
        <f t="shared" si="0"/>
        <v>480</v>
      </c>
      <c r="H25" s="245">
        <f t="shared" si="1"/>
        <v>8.3333333333333329E-2</v>
      </c>
      <c r="I25" s="246">
        <f t="shared" si="2"/>
        <v>1</v>
      </c>
      <c r="J25" s="214" t="s">
        <v>293</v>
      </c>
    </row>
    <row r="26" spans="1:10" ht="13.5" thickBot="1" x14ac:dyDescent="0.25">
      <c r="A26" s="237">
        <v>139</v>
      </c>
      <c r="B26" s="238">
        <v>480</v>
      </c>
      <c r="C26" s="238">
        <v>960</v>
      </c>
      <c r="D26" s="238">
        <v>6</v>
      </c>
      <c r="E26" s="238">
        <v>2</v>
      </c>
      <c r="G26" s="244">
        <f t="shared" si="0"/>
        <v>480</v>
      </c>
      <c r="H26" s="245">
        <f t="shared" si="1"/>
        <v>4.1666666666666664E-2</v>
      </c>
      <c r="I26" s="246">
        <f t="shared" si="2"/>
        <v>1</v>
      </c>
      <c r="J26" s="214" t="s">
        <v>293</v>
      </c>
    </row>
    <row r="27" spans="1:10" ht="13.5" thickBot="1" x14ac:dyDescent="0.25">
      <c r="A27" s="237">
        <v>139</v>
      </c>
      <c r="B27" s="238">
        <v>960</v>
      </c>
      <c r="C27" s="238">
        <v>120</v>
      </c>
      <c r="D27" s="238">
        <v>96</v>
      </c>
      <c r="E27" s="238">
        <v>2</v>
      </c>
      <c r="G27" s="244">
        <f t="shared" si="0"/>
        <v>960</v>
      </c>
      <c r="H27" s="245">
        <f t="shared" si="1"/>
        <v>0.66666666666666663</v>
      </c>
      <c r="I27" s="246">
        <f t="shared" si="2"/>
        <v>1</v>
      </c>
      <c r="J27" s="214" t="s">
        <v>293</v>
      </c>
    </row>
    <row r="28" spans="1:10" ht="13.5" thickBot="1" x14ac:dyDescent="0.25">
      <c r="A28" s="237">
        <v>139</v>
      </c>
      <c r="B28" s="238">
        <v>960</v>
      </c>
      <c r="C28" s="238">
        <v>480</v>
      </c>
      <c r="D28" s="238">
        <v>24</v>
      </c>
      <c r="E28" s="238">
        <v>2</v>
      </c>
      <c r="G28" s="244">
        <f t="shared" si="0"/>
        <v>960</v>
      </c>
      <c r="H28" s="245">
        <f t="shared" si="1"/>
        <v>0.16666666666666666</v>
      </c>
      <c r="I28" s="246">
        <f t="shared" si="2"/>
        <v>1</v>
      </c>
      <c r="J28" s="214" t="s">
        <v>293</v>
      </c>
    </row>
    <row r="29" spans="1:10" ht="13.5" thickBot="1" x14ac:dyDescent="0.25">
      <c r="A29" s="237">
        <v>139</v>
      </c>
      <c r="B29" s="238">
        <v>960</v>
      </c>
      <c r="C29" s="238">
        <v>960</v>
      </c>
      <c r="D29" s="238">
        <v>12</v>
      </c>
      <c r="E29" s="238">
        <v>2</v>
      </c>
      <c r="G29" s="244">
        <f t="shared" si="0"/>
        <v>960</v>
      </c>
      <c r="H29" s="245">
        <f t="shared" si="1"/>
        <v>8.3333333333333329E-2</v>
      </c>
      <c r="I29" s="246">
        <f t="shared" si="2"/>
        <v>1</v>
      </c>
      <c r="J29" s="214" t="s">
        <v>293</v>
      </c>
    </row>
    <row r="30" spans="1:10" ht="13.5" thickBot="1" x14ac:dyDescent="0.25">
      <c r="A30" s="237">
        <v>571</v>
      </c>
      <c r="B30" s="238">
        <v>30</v>
      </c>
      <c r="C30" s="238">
        <v>15</v>
      </c>
      <c r="D30" s="238">
        <v>96</v>
      </c>
      <c r="E30" s="238">
        <v>2</v>
      </c>
      <c r="G30" s="244">
        <f t="shared" si="0"/>
        <v>30</v>
      </c>
      <c r="H30" s="245">
        <f t="shared" si="1"/>
        <v>0.16666666666666666</v>
      </c>
      <c r="I30" s="246">
        <f t="shared" si="2"/>
        <v>1</v>
      </c>
      <c r="J30" s="214" t="s">
        <v>293</v>
      </c>
    </row>
    <row r="31" spans="1:10" ht="13.5" thickBot="1" x14ac:dyDescent="0.25">
      <c r="A31" s="237">
        <v>571</v>
      </c>
      <c r="B31" s="238">
        <v>30</v>
      </c>
      <c r="C31" s="238">
        <v>30</v>
      </c>
      <c r="D31" s="238">
        <v>48</v>
      </c>
      <c r="E31" s="238">
        <v>2</v>
      </c>
      <c r="G31" s="244">
        <f t="shared" si="0"/>
        <v>30</v>
      </c>
      <c r="H31" s="245">
        <f t="shared" si="1"/>
        <v>8.3333333333333329E-2</v>
      </c>
      <c r="I31" s="246">
        <f t="shared" si="2"/>
        <v>1</v>
      </c>
      <c r="J31" s="214" t="s">
        <v>293</v>
      </c>
    </row>
    <row r="32" spans="1:10" ht="13.5" thickBot="1" x14ac:dyDescent="0.25">
      <c r="A32" s="237">
        <v>571</v>
      </c>
      <c r="B32" s="238">
        <v>30</v>
      </c>
      <c r="C32" s="238">
        <v>60</v>
      </c>
      <c r="D32" s="238">
        <v>24</v>
      </c>
      <c r="E32" s="238">
        <v>2</v>
      </c>
      <c r="G32" s="244">
        <f t="shared" si="0"/>
        <v>30</v>
      </c>
      <c r="H32" s="245">
        <f t="shared" si="1"/>
        <v>4.1666666666666664E-2</v>
      </c>
      <c r="I32" s="246">
        <f t="shared" si="2"/>
        <v>1</v>
      </c>
      <c r="J32" s="214" t="s">
        <v>293</v>
      </c>
    </row>
    <row r="33" spans="1:10" ht="13.5" thickBot="1" x14ac:dyDescent="0.25">
      <c r="A33" s="237">
        <v>571</v>
      </c>
      <c r="B33" s="238">
        <v>120</v>
      </c>
      <c r="C33" s="238">
        <v>120</v>
      </c>
      <c r="D33" s="238">
        <v>48</v>
      </c>
      <c r="E33" s="238">
        <v>2</v>
      </c>
      <c r="G33" s="244">
        <f t="shared" si="0"/>
        <v>120</v>
      </c>
      <c r="H33" s="245">
        <f t="shared" si="1"/>
        <v>8.3333333333333329E-2</v>
      </c>
      <c r="I33" s="246">
        <f t="shared" si="2"/>
        <v>1</v>
      </c>
      <c r="J33" s="214" t="s">
        <v>293</v>
      </c>
    </row>
    <row r="34" spans="1:10" ht="13.5" thickBot="1" x14ac:dyDescent="0.25">
      <c r="A34" s="237">
        <v>571</v>
      </c>
      <c r="B34" s="238">
        <v>120</v>
      </c>
      <c r="C34" s="238">
        <v>480</v>
      </c>
      <c r="D34" s="238">
        <v>12</v>
      </c>
      <c r="E34" s="238">
        <v>1</v>
      </c>
      <c r="G34" s="244">
        <f t="shared" si="0"/>
        <v>360</v>
      </c>
      <c r="H34" s="245">
        <f t="shared" si="1"/>
        <v>6.25E-2</v>
      </c>
      <c r="I34" s="250">
        <f t="shared" si="2"/>
        <v>3</v>
      </c>
      <c r="J34" s="214" t="s">
        <v>292</v>
      </c>
    </row>
    <row r="35" spans="1:10" ht="13.5" thickBot="1" x14ac:dyDescent="0.25">
      <c r="A35" s="237">
        <v>571</v>
      </c>
      <c r="B35" s="238">
        <v>120</v>
      </c>
      <c r="C35" s="238">
        <v>960</v>
      </c>
      <c r="D35" s="238">
        <v>7</v>
      </c>
      <c r="E35" s="238">
        <v>47</v>
      </c>
      <c r="G35" s="244">
        <f t="shared" si="0"/>
        <v>840</v>
      </c>
      <c r="H35" s="245">
        <f t="shared" si="1"/>
        <v>7.2916666666666671E-2</v>
      </c>
      <c r="I35" s="250">
        <f t="shared" si="2"/>
        <v>7</v>
      </c>
      <c r="J35" s="214" t="s">
        <v>292</v>
      </c>
    </row>
    <row r="36" spans="1:10" ht="13.5" thickBot="1" x14ac:dyDescent="0.25">
      <c r="A36" s="237">
        <v>571</v>
      </c>
      <c r="B36" s="238">
        <v>480</v>
      </c>
      <c r="C36" s="238">
        <v>120</v>
      </c>
      <c r="D36" s="238">
        <v>192</v>
      </c>
      <c r="E36" s="238">
        <v>2</v>
      </c>
      <c r="G36" s="244">
        <f t="shared" si="0"/>
        <v>480</v>
      </c>
      <c r="H36" s="245">
        <f t="shared" si="1"/>
        <v>0.33333333333333331</v>
      </c>
      <c r="I36" s="246">
        <f t="shared" si="2"/>
        <v>1</v>
      </c>
      <c r="J36" s="214" t="s">
        <v>293</v>
      </c>
    </row>
    <row r="37" spans="1:10" ht="13.5" thickBot="1" x14ac:dyDescent="0.25">
      <c r="A37" s="237">
        <v>571</v>
      </c>
      <c r="B37" s="238">
        <v>480</v>
      </c>
      <c r="C37" s="238">
        <v>480</v>
      </c>
      <c r="D37" s="238">
        <v>48</v>
      </c>
      <c r="E37" s="238">
        <v>2</v>
      </c>
      <c r="G37" s="244">
        <f t="shared" si="0"/>
        <v>480</v>
      </c>
      <c r="H37" s="245">
        <f t="shared" si="1"/>
        <v>8.3333333333333329E-2</v>
      </c>
      <c r="I37" s="246">
        <f t="shared" si="2"/>
        <v>1</v>
      </c>
      <c r="J37" s="214" t="s">
        <v>293</v>
      </c>
    </row>
    <row r="38" spans="1:10" ht="13.5" thickBot="1" x14ac:dyDescent="0.25">
      <c r="A38" s="237">
        <v>571</v>
      </c>
      <c r="B38" s="238">
        <v>480</v>
      </c>
      <c r="C38" s="238">
        <v>960</v>
      </c>
      <c r="D38" s="238">
        <v>24</v>
      </c>
      <c r="E38" s="238">
        <v>2</v>
      </c>
      <c r="G38" s="244">
        <f t="shared" si="0"/>
        <v>480</v>
      </c>
      <c r="H38" s="245">
        <f t="shared" si="1"/>
        <v>4.1666666666666664E-2</v>
      </c>
      <c r="I38" s="246">
        <f t="shared" si="2"/>
        <v>1</v>
      </c>
      <c r="J38" s="214" t="s">
        <v>293</v>
      </c>
    </row>
    <row r="39" spans="1:10" ht="13.5" thickBot="1" x14ac:dyDescent="0.25">
      <c r="A39" s="242">
        <v>1151</v>
      </c>
      <c r="B39" s="238">
        <v>15</v>
      </c>
      <c r="C39" s="238">
        <v>15</v>
      </c>
      <c r="D39" s="238">
        <v>96</v>
      </c>
      <c r="E39" s="238">
        <v>1</v>
      </c>
      <c r="G39" s="247">
        <f t="shared" si="0"/>
        <v>-15</v>
      </c>
      <c r="H39" s="248">
        <f t="shared" si="1"/>
        <v>-8.3333333333333329E-2</v>
      </c>
      <c r="I39" s="249">
        <f t="shared" si="2"/>
        <v>-1</v>
      </c>
      <c r="J39" s="214" t="s">
        <v>293</v>
      </c>
    </row>
    <row r="40" spans="1:10" ht="13.5" thickBot="1" x14ac:dyDescent="0.25">
      <c r="A40" s="242">
        <v>1151</v>
      </c>
      <c r="B40" s="238">
        <v>15</v>
      </c>
      <c r="C40" s="238">
        <v>30</v>
      </c>
      <c r="D40" s="238">
        <v>48</v>
      </c>
      <c r="E40" s="238">
        <v>1</v>
      </c>
      <c r="G40" s="247">
        <f t="shared" si="0"/>
        <v>-15</v>
      </c>
      <c r="H40" s="248">
        <f t="shared" si="1"/>
        <v>-4.1666666666666664E-2</v>
      </c>
      <c r="I40" s="249">
        <f t="shared" si="2"/>
        <v>-1</v>
      </c>
      <c r="J40" s="214" t="s">
        <v>293</v>
      </c>
    </row>
    <row r="41" spans="1:10" ht="13.5" thickBot="1" x14ac:dyDescent="0.25">
      <c r="A41" s="242">
        <v>1151</v>
      </c>
      <c r="B41" s="238">
        <v>15</v>
      </c>
      <c r="C41" s="238">
        <v>60</v>
      </c>
      <c r="D41" s="238">
        <v>24</v>
      </c>
      <c r="E41" s="238">
        <v>1</v>
      </c>
      <c r="G41" s="247">
        <f t="shared" si="0"/>
        <v>-15</v>
      </c>
      <c r="H41" s="248">
        <f t="shared" si="1"/>
        <v>-2.0833333333333332E-2</v>
      </c>
      <c r="I41" s="249">
        <f t="shared" si="2"/>
        <v>-1</v>
      </c>
      <c r="J41" s="214" t="s">
        <v>293</v>
      </c>
    </row>
    <row r="42" spans="1:10" ht="13.5" thickBot="1" x14ac:dyDescent="0.25">
      <c r="A42" s="242">
        <v>1151</v>
      </c>
      <c r="B42" s="238">
        <v>120</v>
      </c>
      <c r="C42" s="238">
        <v>120</v>
      </c>
      <c r="D42" s="238">
        <v>97</v>
      </c>
      <c r="E42" s="238">
        <v>6</v>
      </c>
      <c r="G42" s="244">
        <f t="shared" si="0"/>
        <v>120</v>
      </c>
      <c r="H42" s="245">
        <f t="shared" si="1"/>
        <v>8.3333333333333329E-2</v>
      </c>
      <c r="I42" s="246">
        <f t="shared" si="2"/>
        <v>1</v>
      </c>
      <c r="J42" s="214" t="s">
        <v>293</v>
      </c>
    </row>
    <row r="43" spans="1:10" ht="13.5" thickBot="1" x14ac:dyDescent="0.25">
      <c r="A43" s="242">
        <v>1151</v>
      </c>
      <c r="B43" s="238">
        <v>120</v>
      </c>
      <c r="C43" s="238">
        <v>480</v>
      </c>
      <c r="D43" s="238">
        <v>25</v>
      </c>
      <c r="E43" s="238">
        <v>23</v>
      </c>
      <c r="G43" s="244">
        <f t="shared" si="0"/>
        <v>360</v>
      </c>
      <c r="H43" s="245">
        <f t="shared" si="1"/>
        <v>6.25E-2</v>
      </c>
      <c r="I43" s="246">
        <f t="shared" si="2"/>
        <v>3</v>
      </c>
      <c r="J43" s="214" t="s">
        <v>293</v>
      </c>
    </row>
    <row r="44" spans="1:10" ht="13.5" thickBot="1" x14ac:dyDescent="0.25">
      <c r="A44" s="242">
        <v>1151</v>
      </c>
      <c r="B44" s="238">
        <v>120</v>
      </c>
      <c r="C44" s="238">
        <v>960</v>
      </c>
      <c r="D44" s="238">
        <v>13</v>
      </c>
      <c r="E44" s="238">
        <v>45</v>
      </c>
      <c r="G44" s="244">
        <f t="shared" si="0"/>
        <v>840</v>
      </c>
      <c r="H44" s="245">
        <f t="shared" si="1"/>
        <v>7.2916666666666671E-2</v>
      </c>
      <c r="I44" s="246">
        <f t="shared" si="2"/>
        <v>7</v>
      </c>
      <c r="J44" s="214" t="s">
        <v>293</v>
      </c>
    </row>
  </sheetData>
  <mergeCells count="1">
    <mergeCell ref="G4:I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E4973-3459-4C17-BD9A-C80D4FDFC473}">
  <dimension ref="A4:D22"/>
  <sheetViews>
    <sheetView workbookViewId="0">
      <selection activeCell="A14" sqref="A14:XFD14"/>
    </sheetView>
  </sheetViews>
  <sheetFormatPr baseColWidth="10" defaultRowHeight="15" x14ac:dyDescent="0.25"/>
  <sheetData>
    <row r="4" spans="1:4" x14ac:dyDescent="0.25">
      <c r="A4" s="10" t="s">
        <v>114</v>
      </c>
    </row>
    <row r="5" spans="1:4" x14ac:dyDescent="0.25">
      <c r="A5" s="76" t="s">
        <v>118</v>
      </c>
    </row>
    <row r="7" spans="1:4" x14ac:dyDescent="0.25">
      <c r="A7" s="75" t="s">
        <v>115</v>
      </c>
      <c r="B7" s="75" t="s">
        <v>116</v>
      </c>
      <c r="C7" s="75" t="s">
        <v>117</v>
      </c>
      <c r="D7" s="75" t="s">
        <v>70</v>
      </c>
    </row>
    <row r="8" spans="1:4" x14ac:dyDescent="0.25">
      <c r="A8" s="5">
        <v>0</v>
      </c>
      <c r="B8" s="5">
        <f>+C8</f>
        <v>0</v>
      </c>
      <c r="C8" s="5"/>
      <c r="D8" s="5">
        <f t="shared" ref="D8:D13" si="0">4*A8+2*B8+C8</f>
        <v>0</v>
      </c>
    </row>
    <row r="9" spans="1:4" x14ac:dyDescent="0.25">
      <c r="A9" s="5">
        <v>0</v>
      </c>
      <c r="B9" s="5">
        <v>1</v>
      </c>
      <c r="C9" s="5"/>
      <c r="D9" s="5">
        <f t="shared" si="0"/>
        <v>2</v>
      </c>
    </row>
    <row r="10" spans="1:4" x14ac:dyDescent="0.25">
      <c r="A10" s="5">
        <v>1</v>
      </c>
      <c r="B10" s="5">
        <v>0</v>
      </c>
      <c r="C10" s="5"/>
      <c r="D10" s="5">
        <f t="shared" si="0"/>
        <v>4</v>
      </c>
    </row>
    <row r="11" spans="1:4" x14ac:dyDescent="0.25">
      <c r="A11" s="5">
        <v>1</v>
      </c>
      <c r="B11" s="5">
        <v>1</v>
      </c>
      <c r="C11" s="5"/>
      <c r="D11" s="5">
        <f t="shared" si="0"/>
        <v>6</v>
      </c>
    </row>
    <row r="12" spans="1:4" x14ac:dyDescent="0.25">
      <c r="A12" s="5">
        <v>2</v>
      </c>
      <c r="B12" s="5">
        <v>0</v>
      </c>
      <c r="C12" s="5"/>
      <c r="D12" s="5">
        <f t="shared" si="0"/>
        <v>8</v>
      </c>
    </row>
    <row r="13" spans="1:4" x14ac:dyDescent="0.25">
      <c r="A13" s="5">
        <v>2</v>
      </c>
      <c r="B13" s="5">
        <v>1</v>
      </c>
      <c r="C13" s="5"/>
      <c r="D13" s="5">
        <f t="shared" si="0"/>
        <v>10</v>
      </c>
    </row>
    <row r="15" spans="1:4" x14ac:dyDescent="0.25">
      <c r="A15" s="10" t="s">
        <v>119</v>
      </c>
    </row>
    <row r="16" spans="1:4" x14ac:dyDescent="0.25">
      <c r="A16" s="76" t="s">
        <v>120</v>
      </c>
    </row>
    <row r="18" spans="1:4" x14ac:dyDescent="0.25">
      <c r="A18" s="75" t="s">
        <v>115</v>
      </c>
      <c r="B18" s="75" t="s">
        <v>116</v>
      </c>
      <c r="C18" s="75" t="s">
        <v>117</v>
      </c>
      <c r="D18" s="75" t="s">
        <v>70</v>
      </c>
    </row>
    <row r="19" spans="1:4" x14ac:dyDescent="0.25">
      <c r="A19" s="5">
        <v>0</v>
      </c>
      <c r="B19" s="5">
        <f>+C19</f>
        <v>0</v>
      </c>
      <c r="C19" s="5"/>
      <c r="D19" s="5">
        <f>6*A19+B19+C19</f>
        <v>0</v>
      </c>
    </row>
    <row r="20" spans="1:4" x14ac:dyDescent="0.25">
      <c r="A20" s="5">
        <v>0</v>
      </c>
      <c r="B20" s="5">
        <v>1</v>
      </c>
      <c r="C20" s="5"/>
      <c r="D20" s="5">
        <f t="shared" ref="D20:D22" si="1">6*A20+B20+C20</f>
        <v>1</v>
      </c>
    </row>
    <row r="21" spans="1:4" x14ac:dyDescent="0.25">
      <c r="A21" s="5">
        <v>1</v>
      </c>
      <c r="B21" s="5">
        <v>0</v>
      </c>
      <c r="C21" s="5"/>
      <c r="D21" s="5">
        <f t="shared" si="1"/>
        <v>6</v>
      </c>
    </row>
    <row r="22" spans="1:4" x14ac:dyDescent="0.25">
      <c r="A22" s="5">
        <v>1</v>
      </c>
      <c r="B22" s="5">
        <v>1</v>
      </c>
      <c r="C22" s="5"/>
      <c r="D22" s="5">
        <f t="shared" si="1"/>
        <v>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64FA7-C1FC-47A7-AB84-2510245EDCEF}">
  <dimension ref="A1:F13"/>
  <sheetViews>
    <sheetView workbookViewId="0">
      <selection activeCell="G5" sqref="G5:G10"/>
    </sheetView>
  </sheetViews>
  <sheetFormatPr baseColWidth="10" defaultColWidth="11.42578125" defaultRowHeight="15" x14ac:dyDescent="0.25"/>
  <cols>
    <col min="1" max="1" width="14.140625" style="14" customWidth="1"/>
    <col min="2" max="4" width="11.42578125" style="14"/>
    <col min="5" max="6" width="13.140625" style="14" customWidth="1"/>
    <col min="7" max="16384" width="11.42578125" style="14"/>
  </cols>
  <sheetData>
    <row r="1" spans="1:6" x14ac:dyDescent="0.25">
      <c r="A1" s="14" t="s">
        <v>89</v>
      </c>
    </row>
    <row r="3" spans="1:6" x14ac:dyDescent="0.25">
      <c r="B3" s="875" t="s">
        <v>91</v>
      </c>
      <c r="C3" s="875"/>
      <c r="D3" s="875"/>
      <c r="E3" s="875"/>
    </row>
    <row r="4" spans="1:6" ht="45" x14ac:dyDescent="0.25">
      <c r="B4" s="6" t="s">
        <v>100</v>
      </c>
      <c r="C4" s="6" t="s">
        <v>98</v>
      </c>
      <c r="D4" s="6" t="s">
        <v>99</v>
      </c>
      <c r="E4" s="6" t="s">
        <v>97</v>
      </c>
      <c r="F4" s="6" t="s">
        <v>101</v>
      </c>
    </row>
    <row r="5" spans="1:6" x14ac:dyDescent="0.25">
      <c r="A5" s="15" t="s">
        <v>93</v>
      </c>
      <c r="B5" s="68">
        <f>D5-C5+1</f>
        <v>240</v>
      </c>
      <c r="C5" s="68">
        <v>0</v>
      </c>
      <c r="D5" s="68">
        <v>239</v>
      </c>
      <c r="E5" s="68">
        <f>INT((C5+D5)/2+0.5)</f>
        <v>120</v>
      </c>
      <c r="F5" s="68">
        <f>(D5+C5)/2</f>
        <v>119.5</v>
      </c>
    </row>
    <row r="6" spans="1:6" x14ac:dyDescent="0.25">
      <c r="A6" s="15" t="s">
        <v>90</v>
      </c>
      <c r="B6" s="68">
        <f>D6-C6+1</f>
        <v>127</v>
      </c>
      <c r="C6" s="68">
        <v>56</v>
      </c>
      <c r="D6" s="68">
        <v>182</v>
      </c>
      <c r="E6" s="68">
        <f t="shared" ref="E6:E10" si="0">INT((C6+D6)/2+0.5)</f>
        <v>119</v>
      </c>
      <c r="F6" s="68">
        <f t="shared" ref="F6:F10" si="1">(D6+C6)/2</f>
        <v>119</v>
      </c>
    </row>
    <row r="7" spans="1:6" x14ac:dyDescent="0.25">
      <c r="A7" s="15" t="s">
        <v>92</v>
      </c>
      <c r="B7" s="68">
        <f>D7-C7+1</f>
        <v>127</v>
      </c>
      <c r="C7" s="68">
        <v>56</v>
      </c>
      <c r="D7" s="68">
        <v>182</v>
      </c>
      <c r="E7" s="68">
        <f t="shared" si="0"/>
        <v>119</v>
      </c>
      <c r="F7" s="68">
        <f t="shared" si="1"/>
        <v>119</v>
      </c>
    </row>
    <row r="8" spans="1:6" x14ac:dyDescent="0.25">
      <c r="A8" s="15" t="s">
        <v>96</v>
      </c>
      <c r="B8" s="68">
        <f t="shared" ref="B8:B10" si="2">D8-C8+1</f>
        <v>240</v>
      </c>
      <c r="C8" s="68">
        <v>0</v>
      </c>
      <c r="D8" s="68">
        <v>239</v>
      </c>
      <c r="E8" s="68">
        <f t="shared" si="0"/>
        <v>120</v>
      </c>
      <c r="F8" s="68">
        <f t="shared" si="1"/>
        <v>119.5</v>
      </c>
    </row>
    <row r="9" spans="1:6" x14ac:dyDescent="0.25">
      <c r="A9" s="15" t="s">
        <v>94</v>
      </c>
      <c r="B9" s="68">
        <f t="shared" si="2"/>
        <v>48</v>
      </c>
      <c r="C9" s="68">
        <v>192</v>
      </c>
      <c r="D9" s="68">
        <v>239</v>
      </c>
      <c r="E9" s="68">
        <f t="shared" si="0"/>
        <v>216</v>
      </c>
      <c r="F9" s="68">
        <f t="shared" si="1"/>
        <v>215.5</v>
      </c>
    </row>
    <row r="10" spans="1:6" x14ac:dyDescent="0.25">
      <c r="A10" s="15" t="s">
        <v>95</v>
      </c>
      <c r="B10" s="68">
        <f t="shared" si="2"/>
        <v>48</v>
      </c>
      <c r="C10" s="68">
        <v>0</v>
      </c>
      <c r="D10" s="68">
        <v>47</v>
      </c>
      <c r="E10" s="68">
        <f t="shared" si="0"/>
        <v>24</v>
      </c>
      <c r="F10" s="68">
        <f t="shared" si="1"/>
        <v>23.5</v>
      </c>
    </row>
    <row r="11" spans="1:6" x14ac:dyDescent="0.25">
      <c r="B11" s="67"/>
      <c r="C11" s="67"/>
      <c r="D11" s="67"/>
      <c r="E11" s="67"/>
    </row>
    <row r="12" spans="1:6" x14ac:dyDescent="0.25">
      <c r="B12" s="67"/>
      <c r="C12" s="67"/>
      <c r="D12" s="67"/>
      <c r="E12" s="67"/>
    </row>
    <row r="13" spans="1:6" x14ac:dyDescent="0.25">
      <c r="B13" s="67"/>
      <c r="C13" s="67"/>
      <c r="D13" s="67"/>
      <c r="E13" s="67"/>
    </row>
  </sheetData>
  <mergeCells count="1">
    <mergeCell ref="B3:E3"/>
  </mergeCells>
  <phoneticPr fontId="9"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118D0-ADE9-4C8E-B31F-75E40AAE246C}">
  <dimension ref="A1:N207"/>
  <sheetViews>
    <sheetView topLeftCell="A182" workbookViewId="0">
      <selection activeCell="G196" sqref="G196"/>
    </sheetView>
  </sheetViews>
  <sheetFormatPr baseColWidth="10" defaultColWidth="11.42578125" defaultRowHeight="15" x14ac:dyDescent="0.25"/>
  <cols>
    <col min="1" max="1" width="24.140625" style="14" customWidth="1"/>
    <col min="2" max="3" width="13" style="14" customWidth="1"/>
    <col min="4" max="16384" width="11.42578125" style="14"/>
  </cols>
  <sheetData>
    <row r="1" spans="1:14" x14ac:dyDescent="0.25">
      <c r="A1" s="42" t="s">
        <v>362</v>
      </c>
      <c r="B1" s="42"/>
      <c r="C1" s="42"/>
    </row>
    <row r="4" spans="1:14" ht="32.25" customHeight="1" x14ac:dyDescent="0.25">
      <c r="A4" s="106"/>
      <c r="B4" s="106"/>
      <c r="C4" s="106"/>
      <c r="D4" s="875" t="s">
        <v>356</v>
      </c>
      <c r="E4" s="875"/>
      <c r="F4" s="875"/>
      <c r="G4" s="875"/>
      <c r="H4" s="875"/>
      <c r="I4" s="875"/>
      <c r="J4" s="349" t="s">
        <v>375</v>
      </c>
      <c r="K4" s="349"/>
      <c r="L4" s="349"/>
      <c r="M4" s="349"/>
      <c r="N4" s="349"/>
    </row>
    <row r="5" spans="1:14" ht="30" x14ac:dyDescent="0.25">
      <c r="A5" s="341" t="s">
        <v>361</v>
      </c>
      <c r="B5" s="342"/>
      <c r="C5" s="344" t="s">
        <v>372</v>
      </c>
      <c r="D5" s="106">
        <v>24</v>
      </c>
      <c r="E5" s="106">
        <v>32</v>
      </c>
      <c r="F5" s="106">
        <v>240</v>
      </c>
      <c r="G5" s="106">
        <v>576</v>
      </c>
      <c r="H5" s="106">
        <v>3624</v>
      </c>
      <c r="I5" s="106">
        <v>3824</v>
      </c>
      <c r="J5" s="106">
        <v>44040</v>
      </c>
      <c r="K5" s="106">
        <v>77896</v>
      </c>
      <c r="L5" s="106">
        <v>131176</v>
      </c>
      <c r="M5" s="106">
        <v>112776</v>
      </c>
      <c r="N5" s="106"/>
    </row>
    <row r="6" spans="1:14" x14ac:dyDescent="0.25">
      <c r="A6" s="341" t="s">
        <v>366</v>
      </c>
      <c r="B6" s="342"/>
      <c r="C6" s="342"/>
      <c r="D6" s="106">
        <f>IF(D5&lt;=3824,16,24)</f>
        <v>16</v>
      </c>
      <c r="E6" s="106">
        <f t="shared" ref="E6:I6" si="0">IF(E5&lt;=3824,16,24)</f>
        <v>16</v>
      </c>
      <c r="F6" s="106">
        <f t="shared" si="0"/>
        <v>16</v>
      </c>
      <c r="G6" s="106">
        <f t="shared" si="0"/>
        <v>16</v>
      </c>
      <c r="H6" s="106">
        <f t="shared" si="0"/>
        <v>16</v>
      </c>
      <c r="I6" s="106">
        <f t="shared" si="0"/>
        <v>16</v>
      </c>
      <c r="J6" s="106">
        <f t="shared" ref="J6" si="1">IF(J5&lt;=3824,16,24)</f>
        <v>24</v>
      </c>
      <c r="K6" s="106">
        <f t="shared" ref="K6" si="2">IF(K5&lt;=3824,16,24)</f>
        <v>24</v>
      </c>
      <c r="L6" s="106">
        <f t="shared" ref="L6:N6" si="3">IF(L5&lt;=3824,16,24)</f>
        <v>24</v>
      </c>
      <c r="M6" s="106">
        <f t="shared" si="3"/>
        <v>24</v>
      </c>
      <c r="N6" s="106">
        <f t="shared" si="3"/>
        <v>16</v>
      </c>
    </row>
    <row r="7" spans="1:14" ht="30" x14ac:dyDescent="0.25">
      <c r="A7" s="341" t="s">
        <v>360</v>
      </c>
      <c r="B7" s="342"/>
      <c r="C7" s="342"/>
      <c r="D7" s="106">
        <f>D5+D6</f>
        <v>40</v>
      </c>
      <c r="E7" s="106">
        <f t="shared" ref="E7:N7" si="4">E5+E6</f>
        <v>48</v>
      </c>
      <c r="F7" s="106">
        <f t="shared" si="4"/>
        <v>256</v>
      </c>
      <c r="G7" s="106">
        <f t="shared" si="4"/>
        <v>592</v>
      </c>
      <c r="H7" s="106">
        <f t="shared" si="4"/>
        <v>3640</v>
      </c>
      <c r="I7" s="106">
        <f t="shared" si="4"/>
        <v>3840</v>
      </c>
      <c r="J7" s="106">
        <f t="shared" si="4"/>
        <v>44064</v>
      </c>
      <c r="K7" s="106">
        <f t="shared" si="4"/>
        <v>77920</v>
      </c>
      <c r="L7" s="106">
        <f t="shared" si="4"/>
        <v>131200</v>
      </c>
      <c r="M7" s="106">
        <f t="shared" si="4"/>
        <v>112800</v>
      </c>
      <c r="N7" s="106">
        <f t="shared" si="4"/>
        <v>16</v>
      </c>
    </row>
    <row r="8" spans="1:14" x14ac:dyDescent="0.25">
      <c r="A8" s="876" t="s">
        <v>364</v>
      </c>
      <c r="B8" s="344" t="s">
        <v>359</v>
      </c>
      <c r="C8" s="47"/>
      <c r="D8" s="68" t="str">
        <f>IF(D$5&lt;=292,"BG 2","BG 1")</f>
        <v>BG 2</v>
      </c>
      <c r="E8" s="68" t="str">
        <f t="shared" ref="E8:N8" si="5">IF(E$5&lt;=292,"BG 2","BG 1")</f>
        <v>BG 2</v>
      </c>
      <c r="F8" s="68" t="str">
        <f t="shared" si="5"/>
        <v>BG 2</v>
      </c>
      <c r="G8" s="68" t="str">
        <f t="shared" si="5"/>
        <v>BG 1</v>
      </c>
      <c r="H8" s="68" t="str">
        <f t="shared" si="5"/>
        <v>BG 1</v>
      </c>
      <c r="I8" s="68" t="str">
        <f t="shared" si="5"/>
        <v>BG 1</v>
      </c>
      <c r="J8" s="68" t="str">
        <f t="shared" si="5"/>
        <v>BG 1</v>
      </c>
      <c r="K8" s="68" t="str">
        <f t="shared" si="5"/>
        <v>BG 1</v>
      </c>
      <c r="L8" s="68" t="str">
        <f t="shared" si="5"/>
        <v>BG 1</v>
      </c>
      <c r="M8" s="68" t="str">
        <f t="shared" si="5"/>
        <v>BG 1</v>
      </c>
      <c r="N8" s="68" t="str">
        <f t="shared" si="5"/>
        <v>BG 2</v>
      </c>
    </row>
    <row r="9" spans="1:14" x14ac:dyDescent="0.25">
      <c r="A9" s="877"/>
      <c r="B9" s="344" t="s">
        <v>358</v>
      </c>
      <c r="C9" s="47"/>
      <c r="D9" s="68" t="str">
        <f>IF(D$5&lt;=3824,"BG 2","BG 1")</f>
        <v>BG 2</v>
      </c>
      <c r="E9" s="68" t="str">
        <f t="shared" ref="E9:N9" si="6">IF(E$5&lt;=3824,"BG 2","BG 1")</f>
        <v>BG 2</v>
      </c>
      <c r="F9" s="68" t="str">
        <f t="shared" si="6"/>
        <v>BG 2</v>
      </c>
      <c r="G9" s="68" t="str">
        <f t="shared" si="6"/>
        <v>BG 2</v>
      </c>
      <c r="H9" s="68" t="str">
        <f t="shared" si="6"/>
        <v>BG 2</v>
      </c>
      <c r="I9" s="68" t="str">
        <f t="shared" si="6"/>
        <v>BG 2</v>
      </c>
      <c r="J9" s="68" t="str">
        <f t="shared" si="6"/>
        <v>BG 1</v>
      </c>
      <c r="K9" s="68" t="str">
        <f t="shared" si="6"/>
        <v>BG 1</v>
      </c>
      <c r="L9" s="68" t="str">
        <f t="shared" si="6"/>
        <v>BG 1</v>
      </c>
      <c r="M9" s="68" t="str">
        <f t="shared" si="6"/>
        <v>BG 1</v>
      </c>
      <c r="N9" s="68" t="str">
        <f t="shared" si="6"/>
        <v>BG 2</v>
      </c>
    </row>
    <row r="10" spans="1:14" x14ac:dyDescent="0.25">
      <c r="A10" s="878"/>
      <c r="B10" s="344" t="s">
        <v>357</v>
      </c>
      <c r="C10" s="68" t="s">
        <v>363</v>
      </c>
      <c r="D10" s="46"/>
      <c r="E10" s="46"/>
      <c r="F10" s="46"/>
      <c r="G10" s="46"/>
      <c r="H10" s="46"/>
      <c r="I10" s="46"/>
      <c r="J10" s="46"/>
      <c r="K10" s="46"/>
      <c r="L10" s="46"/>
      <c r="M10" s="46"/>
      <c r="N10" s="46"/>
    </row>
    <row r="11" spans="1:14" x14ac:dyDescent="0.25">
      <c r="A11" s="876" t="s">
        <v>369</v>
      </c>
      <c r="B11" s="6" t="s">
        <v>365</v>
      </c>
      <c r="C11" s="68">
        <v>8448</v>
      </c>
      <c r="D11" s="345"/>
      <c r="E11" s="345"/>
      <c r="F11" s="345"/>
      <c r="G11" s="345"/>
      <c r="H11" s="345"/>
      <c r="I11" s="345"/>
      <c r="J11" s="345"/>
      <c r="K11" s="345"/>
      <c r="L11" s="345"/>
      <c r="M11" s="345"/>
      <c r="N11" s="345"/>
    </row>
    <row r="12" spans="1:14" x14ac:dyDescent="0.25">
      <c r="A12" s="878"/>
      <c r="B12" s="6" t="s">
        <v>363</v>
      </c>
      <c r="C12" s="68">
        <v>3840</v>
      </c>
      <c r="D12" s="345"/>
      <c r="E12" s="345"/>
      <c r="F12" s="345"/>
      <c r="G12" s="345"/>
      <c r="H12" s="345"/>
      <c r="I12" s="345"/>
      <c r="J12" s="345"/>
      <c r="K12" s="345"/>
      <c r="L12" s="345"/>
      <c r="M12" s="345"/>
      <c r="N12" s="345"/>
    </row>
    <row r="13" spans="1:14" x14ac:dyDescent="0.25">
      <c r="A13" s="876" t="s">
        <v>367</v>
      </c>
      <c r="B13" s="344" t="s">
        <v>359</v>
      </c>
      <c r="C13" s="47"/>
      <c r="D13" s="68">
        <f>IF(D8="BG 1",ROUNDUP(D$7/($C11-D$6),0),D15)</f>
        <v>1</v>
      </c>
      <c r="E13" s="68">
        <f t="shared" ref="E13:N13" si="7">IF(E8="BG 1",ROUNDUP(E$7/($C11-E$6),0),E15)</f>
        <v>1</v>
      </c>
      <c r="F13" s="68">
        <f t="shared" si="7"/>
        <v>1</v>
      </c>
      <c r="G13" s="68">
        <f t="shared" si="7"/>
        <v>1</v>
      </c>
      <c r="H13" s="68">
        <f t="shared" si="7"/>
        <v>1</v>
      </c>
      <c r="I13" s="68">
        <f t="shared" si="7"/>
        <v>1</v>
      </c>
      <c r="J13" s="68">
        <f t="shared" si="7"/>
        <v>6</v>
      </c>
      <c r="K13" s="68">
        <f t="shared" si="7"/>
        <v>10</v>
      </c>
      <c r="L13" s="68">
        <f t="shared" si="7"/>
        <v>16</v>
      </c>
      <c r="M13" s="68">
        <f t="shared" si="7"/>
        <v>14</v>
      </c>
      <c r="N13" s="68">
        <f t="shared" si="7"/>
        <v>1</v>
      </c>
    </row>
    <row r="14" spans="1:14" x14ac:dyDescent="0.25">
      <c r="A14" s="877"/>
      <c r="B14" s="344" t="s">
        <v>358</v>
      </c>
      <c r="C14" s="47"/>
      <c r="D14" s="68">
        <f>IF(D9="BG 1",ROUNDUP(D$7/($C12-D$6),0),D15)</f>
        <v>1</v>
      </c>
      <c r="E14" s="68">
        <f>IF(E9="BG 1",ROUNDUP(E$7/($C12-E$6),0),E15)</f>
        <v>1</v>
      </c>
      <c r="F14" s="68">
        <f t="shared" ref="F14:N14" si="8">IF(F9="BG 1",ROUNDUP(F$7/($C12-F$6),0),F15)</f>
        <v>1</v>
      </c>
      <c r="G14" s="68">
        <f t="shared" si="8"/>
        <v>1</v>
      </c>
      <c r="H14" s="68">
        <f t="shared" si="8"/>
        <v>1</v>
      </c>
      <c r="I14" s="68">
        <f t="shared" si="8"/>
        <v>2</v>
      </c>
      <c r="J14" s="68">
        <f t="shared" si="8"/>
        <v>12</v>
      </c>
      <c r="K14" s="68">
        <f t="shared" si="8"/>
        <v>21</v>
      </c>
      <c r="L14" s="68">
        <f t="shared" si="8"/>
        <v>35</v>
      </c>
      <c r="M14" s="68">
        <f t="shared" si="8"/>
        <v>30</v>
      </c>
      <c r="N14" s="68">
        <f t="shared" si="8"/>
        <v>1</v>
      </c>
    </row>
    <row r="15" spans="1:14" x14ac:dyDescent="0.25">
      <c r="A15" s="878"/>
      <c r="B15" s="344" t="s">
        <v>357</v>
      </c>
      <c r="C15" s="46"/>
      <c r="D15" s="68">
        <f>ROUNDUP(D$7/($C12-D$6),0)</f>
        <v>1</v>
      </c>
      <c r="E15" s="68">
        <f t="shared" ref="E15" si="9">ROUNDUP(E$7/($C12-E$6),0)</f>
        <v>1</v>
      </c>
      <c r="F15" s="68">
        <f t="shared" ref="F15:N15" si="10">ROUNDUP(F$7/($C12-F$6),0)</f>
        <v>1</v>
      </c>
      <c r="G15" s="68">
        <f t="shared" si="10"/>
        <v>1</v>
      </c>
      <c r="H15" s="68">
        <f t="shared" si="10"/>
        <v>1</v>
      </c>
      <c r="I15" s="68">
        <f t="shared" si="10"/>
        <v>2</v>
      </c>
      <c r="J15" s="68">
        <f t="shared" si="10"/>
        <v>12</v>
      </c>
      <c r="K15" s="68">
        <f t="shared" si="10"/>
        <v>21</v>
      </c>
      <c r="L15" s="68">
        <f t="shared" si="10"/>
        <v>35</v>
      </c>
      <c r="M15" s="68">
        <f t="shared" si="10"/>
        <v>30</v>
      </c>
      <c r="N15" s="68">
        <f t="shared" si="10"/>
        <v>1</v>
      </c>
    </row>
    <row r="16" spans="1:14" x14ac:dyDescent="0.25">
      <c r="A16" s="876" t="s">
        <v>376</v>
      </c>
      <c r="B16" s="344" t="s">
        <v>359</v>
      </c>
      <c r="C16" s="47"/>
      <c r="D16" s="68">
        <f>IF(D$7/D13=INT(D$7/D13),D$7/D13,"NO ENTERO")</f>
        <v>40</v>
      </c>
      <c r="E16" s="68">
        <f t="shared" ref="E16:N16" si="11">IF(E$7/E13=INT(E$7/E13),E$7/E13,"NO ENTERO")</f>
        <v>48</v>
      </c>
      <c r="F16" s="68">
        <f t="shared" si="11"/>
        <v>256</v>
      </c>
      <c r="G16" s="68">
        <f t="shared" si="11"/>
        <v>592</v>
      </c>
      <c r="H16" s="68">
        <f t="shared" si="11"/>
        <v>3640</v>
      </c>
      <c r="I16" s="68">
        <f t="shared" si="11"/>
        <v>3840</v>
      </c>
      <c r="J16" s="68">
        <f t="shared" si="11"/>
        <v>7344</v>
      </c>
      <c r="K16" s="68">
        <f t="shared" si="11"/>
        <v>7792</v>
      </c>
      <c r="L16" s="68">
        <f t="shared" si="11"/>
        <v>8200</v>
      </c>
      <c r="M16" s="46"/>
      <c r="N16" s="68">
        <f t="shared" si="11"/>
        <v>16</v>
      </c>
    </row>
    <row r="17" spans="1:14" x14ac:dyDescent="0.25">
      <c r="A17" s="877"/>
      <c r="B17" s="344" t="s">
        <v>358</v>
      </c>
      <c r="C17" s="47"/>
      <c r="D17" s="68">
        <f t="shared" ref="D17:N17" si="12">IF(D$7/D14=INT(D$7/D14),D$7/D14,"NO ENTERO")</f>
        <v>40</v>
      </c>
      <c r="E17" s="68">
        <f t="shared" si="12"/>
        <v>48</v>
      </c>
      <c r="F17" s="68">
        <f t="shared" si="12"/>
        <v>256</v>
      </c>
      <c r="G17" s="68">
        <f t="shared" si="12"/>
        <v>592</v>
      </c>
      <c r="H17" s="68">
        <f t="shared" si="12"/>
        <v>3640</v>
      </c>
      <c r="I17" s="68">
        <f t="shared" si="12"/>
        <v>1920</v>
      </c>
      <c r="J17" s="68">
        <f t="shared" si="12"/>
        <v>3672</v>
      </c>
      <c r="K17" s="46"/>
      <c r="L17" s="46"/>
      <c r="M17" s="46"/>
      <c r="N17" s="68">
        <f t="shared" si="12"/>
        <v>16</v>
      </c>
    </row>
    <row r="18" spans="1:14" x14ac:dyDescent="0.25">
      <c r="A18" s="878"/>
      <c r="B18" s="344" t="s">
        <v>357</v>
      </c>
      <c r="C18" s="46"/>
      <c r="D18" s="68">
        <f t="shared" ref="D18:N18" si="13">IF(D$7/D15=INT(D$7/D15),D$7/D15,"NO ENTERO")</f>
        <v>40</v>
      </c>
      <c r="E18" s="68">
        <f t="shared" si="13"/>
        <v>48</v>
      </c>
      <c r="F18" s="68">
        <f t="shared" si="13"/>
        <v>256</v>
      </c>
      <c r="G18" s="68">
        <f t="shared" si="13"/>
        <v>592</v>
      </c>
      <c r="H18" s="68">
        <f t="shared" si="13"/>
        <v>3640</v>
      </c>
      <c r="I18" s="68">
        <f t="shared" si="13"/>
        <v>1920</v>
      </c>
      <c r="J18" s="68">
        <f t="shared" si="13"/>
        <v>3672</v>
      </c>
      <c r="K18" s="46"/>
      <c r="L18" s="46"/>
      <c r="M18" s="68">
        <f t="shared" si="13"/>
        <v>3760</v>
      </c>
      <c r="N18" s="68">
        <f t="shared" si="13"/>
        <v>16</v>
      </c>
    </row>
    <row r="19" spans="1:14" x14ac:dyDescent="0.25">
      <c r="A19" s="348"/>
      <c r="B19" s="346"/>
      <c r="C19" s="346"/>
      <c r="D19" s="347"/>
      <c r="E19" s="347"/>
      <c r="F19" s="347"/>
      <c r="G19" s="347"/>
      <c r="H19" s="347"/>
      <c r="I19" s="347"/>
      <c r="J19" s="347"/>
      <c r="K19" s="347"/>
      <c r="L19" s="347"/>
      <c r="M19" s="347"/>
      <c r="N19" s="347"/>
    </row>
    <row r="20" spans="1:14" x14ac:dyDescent="0.25">
      <c r="A20" s="876" t="s">
        <v>371</v>
      </c>
      <c r="B20" s="344" t="s">
        <v>359</v>
      </c>
      <c r="C20" s="47"/>
      <c r="D20" s="68">
        <f>IF(D8="BG 1",22,D$22)</f>
        <v>6</v>
      </c>
      <c r="E20" s="68">
        <f t="shared" ref="E20:N20" si="14">IF(E8="BG 1",22,E$22)</f>
        <v>6</v>
      </c>
      <c r="F20" s="68">
        <f t="shared" si="14"/>
        <v>8</v>
      </c>
      <c r="G20" s="68">
        <f t="shared" si="14"/>
        <v>22</v>
      </c>
      <c r="H20" s="68">
        <f t="shared" si="14"/>
        <v>22</v>
      </c>
      <c r="I20" s="68">
        <f t="shared" si="14"/>
        <v>22</v>
      </c>
      <c r="J20" s="68">
        <f t="shared" si="14"/>
        <v>22</v>
      </c>
      <c r="K20" s="68">
        <f t="shared" si="14"/>
        <v>22</v>
      </c>
      <c r="L20" s="68">
        <f t="shared" si="14"/>
        <v>22</v>
      </c>
      <c r="M20" s="68">
        <f t="shared" si="14"/>
        <v>22</v>
      </c>
      <c r="N20" s="68">
        <f t="shared" si="14"/>
        <v>6</v>
      </c>
    </row>
    <row r="21" spans="1:14" x14ac:dyDescent="0.25">
      <c r="A21" s="877"/>
      <c r="B21" s="344" t="s">
        <v>358</v>
      </c>
      <c r="C21" s="47"/>
      <c r="D21" s="68">
        <f>IF(D9="BG 1",22,D$22)</f>
        <v>6</v>
      </c>
      <c r="E21" s="68">
        <f t="shared" ref="E21:N21" si="15">IF(E9="BG 1",22,E$22)</f>
        <v>6</v>
      </c>
      <c r="F21" s="68">
        <f t="shared" si="15"/>
        <v>8</v>
      </c>
      <c r="G21" s="68">
        <f t="shared" si="15"/>
        <v>9</v>
      </c>
      <c r="H21" s="68">
        <f t="shared" si="15"/>
        <v>10</v>
      </c>
      <c r="I21" s="68">
        <f t="shared" si="15"/>
        <v>10</v>
      </c>
      <c r="J21" s="68">
        <f t="shared" si="15"/>
        <v>22</v>
      </c>
      <c r="K21" s="68">
        <f t="shared" si="15"/>
        <v>22</v>
      </c>
      <c r="L21" s="68">
        <f t="shared" si="15"/>
        <v>22</v>
      </c>
      <c r="M21" s="68">
        <f t="shared" si="15"/>
        <v>22</v>
      </c>
      <c r="N21" s="68">
        <f t="shared" si="15"/>
        <v>6</v>
      </c>
    </row>
    <row r="22" spans="1:14" x14ac:dyDescent="0.25">
      <c r="A22" s="878"/>
      <c r="B22" s="344" t="s">
        <v>357</v>
      </c>
      <c r="C22" s="46"/>
      <c r="D22" s="68">
        <f>IF(D7&gt;640,10,IF(D7&gt;560,9,IF(D7&gt;192,8,6)))</f>
        <v>6</v>
      </c>
      <c r="E22" s="68">
        <f t="shared" ref="E22:N22" si="16">IF(E7&gt;640,10,IF(E7&gt;560,9,IF(E7&gt;192,8,6)))</f>
        <v>6</v>
      </c>
      <c r="F22" s="68">
        <f t="shared" si="16"/>
        <v>8</v>
      </c>
      <c r="G22" s="68">
        <f t="shared" si="16"/>
        <v>9</v>
      </c>
      <c r="H22" s="68">
        <f t="shared" si="16"/>
        <v>10</v>
      </c>
      <c r="I22" s="68">
        <f t="shared" si="16"/>
        <v>10</v>
      </c>
      <c r="J22" s="68">
        <f t="shared" si="16"/>
        <v>10</v>
      </c>
      <c r="K22" s="68">
        <f t="shared" si="16"/>
        <v>10</v>
      </c>
      <c r="L22" s="68">
        <f t="shared" si="16"/>
        <v>10</v>
      </c>
      <c r="M22" s="68">
        <f t="shared" si="16"/>
        <v>10</v>
      </c>
      <c r="N22" s="68">
        <f t="shared" si="16"/>
        <v>6</v>
      </c>
    </row>
    <row r="23" spans="1:14" x14ac:dyDescent="0.25">
      <c r="A23" s="876" t="s">
        <v>368</v>
      </c>
      <c r="B23" s="344" t="s">
        <v>359</v>
      </c>
      <c r="C23" s="47"/>
      <c r="D23" s="68" t="e">
        <f>IF($D8="BG 1",MIN(D38:D88),D25)</f>
        <v>#REF!</v>
      </c>
      <c r="E23" s="68">
        <f t="shared" ref="E23:N23" si="17">IF(E11="BG 1",22,E$22)</f>
        <v>6</v>
      </c>
      <c r="F23" s="68">
        <f t="shared" si="17"/>
        <v>8</v>
      </c>
      <c r="G23" s="68">
        <f t="shared" si="17"/>
        <v>9</v>
      </c>
      <c r="H23" s="68">
        <f t="shared" si="17"/>
        <v>10</v>
      </c>
      <c r="I23" s="68">
        <f t="shared" si="17"/>
        <v>10</v>
      </c>
      <c r="J23" s="68">
        <f t="shared" si="17"/>
        <v>10</v>
      </c>
      <c r="K23" s="68">
        <f t="shared" si="17"/>
        <v>10</v>
      </c>
      <c r="L23" s="68">
        <f t="shared" si="17"/>
        <v>10</v>
      </c>
      <c r="M23" s="68">
        <f t="shared" si="17"/>
        <v>10</v>
      </c>
      <c r="N23" s="68">
        <f t="shared" si="17"/>
        <v>6</v>
      </c>
    </row>
    <row r="24" spans="1:14" x14ac:dyDescent="0.25">
      <c r="A24" s="877"/>
      <c r="B24" s="344" t="s">
        <v>358</v>
      </c>
      <c r="C24" s="47"/>
      <c r="D24" s="68">
        <f>IF(D12="BG 1",22,D$22)</f>
        <v>6</v>
      </c>
      <c r="E24" s="68">
        <f t="shared" ref="E24:N24" si="18">IF(E12="BG 1",22,E$22)</f>
        <v>6</v>
      </c>
      <c r="F24" s="68">
        <f t="shared" si="18"/>
        <v>8</v>
      </c>
      <c r="G24" s="68">
        <f t="shared" si="18"/>
        <v>9</v>
      </c>
      <c r="H24" s="68">
        <f t="shared" si="18"/>
        <v>10</v>
      </c>
      <c r="I24" s="68">
        <f t="shared" si="18"/>
        <v>10</v>
      </c>
      <c r="J24" s="68">
        <f t="shared" si="18"/>
        <v>10</v>
      </c>
      <c r="K24" s="68">
        <f t="shared" si="18"/>
        <v>10</v>
      </c>
      <c r="L24" s="68">
        <f t="shared" si="18"/>
        <v>10</v>
      </c>
      <c r="M24" s="68">
        <f t="shared" si="18"/>
        <v>10</v>
      </c>
      <c r="N24" s="68">
        <f t="shared" si="18"/>
        <v>6</v>
      </c>
    </row>
    <row r="25" spans="1:14" x14ac:dyDescent="0.25">
      <c r="A25" s="878"/>
      <c r="B25" s="344" t="s">
        <v>357</v>
      </c>
      <c r="C25" s="46"/>
      <c r="D25" s="68" t="e">
        <f>MIN(D92:D142)</f>
        <v>#REF!</v>
      </c>
      <c r="E25" s="68">
        <f t="shared" ref="E25:N25" si="19">IF(E10&gt;640,10,IF(E10&gt;560,9,IF(E10&gt;192,8,6)))</f>
        <v>6</v>
      </c>
      <c r="F25" s="68">
        <f t="shared" si="19"/>
        <v>6</v>
      </c>
      <c r="G25" s="68">
        <f t="shared" si="19"/>
        <v>6</v>
      </c>
      <c r="H25" s="68">
        <f t="shared" si="19"/>
        <v>6</v>
      </c>
      <c r="I25" s="68">
        <f t="shared" si="19"/>
        <v>6</v>
      </c>
      <c r="J25" s="68">
        <f t="shared" si="19"/>
        <v>6</v>
      </c>
      <c r="K25" s="68">
        <f t="shared" si="19"/>
        <v>6</v>
      </c>
      <c r="L25" s="68">
        <f t="shared" si="19"/>
        <v>6</v>
      </c>
      <c r="M25" s="68">
        <f t="shared" si="19"/>
        <v>6</v>
      </c>
      <c r="N25" s="68">
        <f t="shared" si="19"/>
        <v>6</v>
      </c>
    </row>
    <row r="26" spans="1:14" x14ac:dyDescent="0.25">
      <c r="A26" s="876" t="s">
        <v>370</v>
      </c>
      <c r="B26" s="6" t="s">
        <v>365</v>
      </c>
      <c r="C26" s="6"/>
      <c r="D26" s="106" t="e">
        <f>22*#REF!</f>
        <v>#REF!</v>
      </c>
      <c r="E26" s="106" t="e">
        <f>22*#REF!</f>
        <v>#REF!</v>
      </c>
      <c r="F26" s="106" t="e">
        <f>22*#REF!</f>
        <v>#REF!</v>
      </c>
      <c r="G26" s="106" t="e">
        <f>22*#REF!</f>
        <v>#REF!</v>
      </c>
      <c r="H26" s="106" t="e">
        <f>22*#REF!</f>
        <v>#REF!</v>
      </c>
      <c r="I26" s="106" t="e">
        <f>22*#REF!</f>
        <v>#REF!</v>
      </c>
      <c r="J26" s="106" t="e">
        <f>22*#REF!</f>
        <v>#REF!</v>
      </c>
      <c r="K26" s="106" t="e">
        <f>22*#REF!</f>
        <v>#REF!</v>
      </c>
      <c r="L26" s="106" t="e">
        <f>22*#REF!</f>
        <v>#REF!</v>
      </c>
      <c r="M26" s="106" t="e">
        <f>22*#REF!</f>
        <v>#REF!</v>
      </c>
      <c r="N26" s="106" t="e">
        <f>22*#REF!</f>
        <v>#REF!</v>
      </c>
    </row>
    <row r="27" spans="1:14" x14ac:dyDescent="0.25">
      <c r="A27" s="878"/>
      <c r="B27" s="6" t="s">
        <v>363</v>
      </c>
      <c r="C27" s="6"/>
      <c r="D27" s="106" t="e">
        <f>10*#REF!</f>
        <v>#REF!</v>
      </c>
      <c r="E27" s="106" t="e">
        <f>10*#REF!</f>
        <v>#REF!</v>
      </c>
      <c r="F27" s="106" t="e">
        <f>10*#REF!</f>
        <v>#REF!</v>
      </c>
      <c r="G27" s="106" t="e">
        <f>10*#REF!</f>
        <v>#REF!</v>
      </c>
      <c r="H27" s="106" t="e">
        <f>10*#REF!</f>
        <v>#REF!</v>
      </c>
      <c r="I27" s="106" t="e">
        <f>10*#REF!</f>
        <v>#REF!</v>
      </c>
      <c r="J27" s="106" t="e">
        <f>10*#REF!</f>
        <v>#REF!</v>
      </c>
      <c r="K27" s="106" t="e">
        <f>10*#REF!</f>
        <v>#REF!</v>
      </c>
      <c r="L27" s="106" t="e">
        <f>10*#REF!</f>
        <v>#REF!</v>
      </c>
      <c r="M27" s="106" t="e">
        <f>10*#REF!</f>
        <v>#REF!</v>
      </c>
      <c r="N27" s="106" t="e">
        <f>10*#REF!</f>
        <v>#REF!</v>
      </c>
    </row>
    <row r="28" spans="1:14" x14ac:dyDescent="0.25">
      <c r="A28" s="341"/>
      <c r="B28" s="341"/>
      <c r="C28" s="341"/>
      <c r="D28" s="106"/>
      <c r="E28" s="106"/>
      <c r="F28" s="106"/>
      <c r="G28" s="106"/>
      <c r="H28" s="106"/>
      <c r="I28" s="106"/>
      <c r="J28" s="106"/>
      <c r="K28" s="106"/>
      <c r="L28" s="106"/>
      <c r="M28" s="106"/>
      <c r="N28" s="106"/>
    </row>
    <row r="29" spans="1:14" x14ac:dyDescent="0.25">
      <c r="A29" s="341"/>
      <c r="B29" s="341"/>
      <c r="C29" s="341"/>
      <c r="D29" s="106"/>
      <c r="E29" s="106"/>
      <c r="F29" s="106"/>
      <c r="G29" s="106"/>
      <c r="H29" s="106"/>
      <c r="I29" s="106"/>
      <c r="J29" s="106"/>
      <c r="K29" s="106"/>
      <c r="L29" s="106"/>
      <c r="M29" s="106"/>
      <c r="N29" s="106"/>
    </row>
    <row r="30" spans="1:14" x14ac:dyDescent="0.25">
      <c r="A30" s="341"/>
      <c r="B30" s="341"/>
      <c r="C30" s="341"/>
      <c r="D30" s="106"/>
      <c r="E30" s="106"/>
      <c r="F30" s="106"/>
      <c r="G30" s="106"/>
      <c r="H30" s="106"/>
      <c r="I30" s="106"/>
      <c r="J30" s="106"/>
      <c r="K30" s="106"/>
      <c r="L30" s="106"/>
      <c r="M30" s="106"/>
      <c r="N30" s="106"/>
    </row>
    <row r="31" spans="1:14" x14ac:dyDescent="0.25">
      <c r="A31" s="42"/>
      <c r="B31" s="42"/>
      <c r="C31" s="42"/>
    </row>
    <row r="32" spans="1:14" x14ac:dyDescent="0.25">
      <c r="A32" s="42"/>
      <c r="B32" s="42"/>
      <c r="C32" s="42"/>
    </row>
    <row r="33" spans="1:14" x14ac:dyDescent="0.25">
      <c r="A33" s="42"/>
      <c r="B33" s="42"/>
      <c r="C33" s="42"/>
    </row>
    <row r="37" spans="1:14" x14ac:dyDescent="0.25">
      <c r="B37" s="143" t="s">
        <v>374</v>
      </c>
      <c r="D37" s="875" t="s">
        <v>373</v>
      </c>
      <c r="E37" s="875"/>
      <c r="F37" s="875"/>
      <c r="G37" s="875"/>
      <c r="H37" s="875"/>
      <c r="I37" s="875"/>
      <c r="J37" s="875"/>
      <c r="K37" s="875"/>
      <c r="L37" s="875"/>
      <c r="M37" s="875"/>
      <c r="N37" s="875"/>
    </row>
    <row r="38" spans="1:14" x14ac:dyDescent="0.25">
      <c r="A38" s="879" t="s">
        <v>377</v>
      </c>
      <c r="B38" s="68">
        <v>2</v>
      </c>
      <c r="C38" s="345"/>
      <c r="D38" s="106">
        <f>IF($B38*D$20&gt;=D$7/D$13+D$6,$B38,10^6)</f>
        <v>1000000</v>
      </c>
      <c r="E38" s="106">
        <f t="shared" ref="E38:N53" si="20">IF($B38*E$20&gt;=E$7/E$13+E$6,$B38,10^6)</f>
        <v>1000000</v>
      </c>
      <c r="F38" s="106">
        <f t="shared" si="20"/>
        <v>1000000</v>
      </c>
      <c r="G38" s="106">
        <f t="shared" si="20"/>
        <v>1000000</v>
      </c>
      <c r="H38" s="106">
        <f t="shared" si="20"/>
        <v>1000000</v>
      </c>
      <c r="I38" s="106">
        <f t="shared" si="20"/>
        <v>1000000</v>
      </c>
      <c r="J38" s="106">
        <f t="shared" si="20"/>
        <v>1000000</v>
      </c>
      <c r="K38" s="106">
        <f t="shared" si="20"/>
        <v>1000000</v>
      </c>
      <c r="L38" s="106">
        <f t="shared" si="20"/>
        <v>1000000</v>
      </c>
      <c r="M38" s="106">
        <f t="shared" si="20"/>
        <v>1000000</v>
      </c>
      <c r="N38" s="106">
        <f t="shared" si="20"/>
        <v>1000000</v>
      </c>
    </row>
    <row r="39" spans="1:14" x14ac:dyDescent="0.25">
      <c r="A39" s="879"/>
      <c r="B39" s="68">
        <v>3</v>
      </c>
      <c r="C39" s="345"/>
      <c r="D39" s="106">
        <f t="shared" ref="D39:N70" si="21">IF($B39*D$20&gt;=D$7/D$13+D$6,$B39,10^6)</f>
        <v>1000000</v>
      </c>
      <c r="E39" s="106">
        <f t="shared" si="20"/>
        <v>1000000</v>
      </c>
      <c r="F39" s="106">
        <f t="shared" si="20"/>
        <v>1000000</v>
      </c>
      <c r="G39" s="106">
        <f t="shared" si="20"/>
        <v>1000000</v>
      </c>
      <c r="H39" s="106">
        <f t="shared" si="20"/>
        <v>1000000</v>
      </c>
      <c r="I39" s="106">
        <f t="shared" si="20"/>
        <v>1000000</v>
      </c>
      <c r="J39" s="106">
        <f t="shared" si="20"/>
        <v>1000000</v>
      </c>
      <c r="K39" s="106">
        <f t="shared" si="20"/>
        <v>1000000</v>
      </c>
      <c r="L39" s="106">
        <f t="shared" si="20"/>
        <v>1000000</v>
      </c>
      <c r="M39" s="106">
        <f t="shared" si="20"/>
        <v>1000000</v>
      </c>
      <c r="N39" s="106">
        <f t="shared" si="20"/>
        <v>1000000</v>
      </c>
    </row>
    <row r="40" spans="1:14" x14ac:dyDescent="0.25">
      <c r="A40" s="879"/>
      <c r="B40" s="68">
        <v>4</v>
      </c>
      <c r="C40" s="345"/>
      <c r="D40" s="106">
        <f t="shared" si="21"/>
        <v>1000000</v>
      </c>
      <c r="E40" s="106">
        <f t="shared" si="20"/>
        <v>1000000</v>
      </c>
      <c r="F40" s="106">
        <f t="shared" si="20"/>
        <v>1000000</v>
      </c>
      <c r="G40" s="106">
        <f t="shared" si="20"/>
        <v>1000000</v>
      </c>
      <c r="H40" s="106">
        <f t="shared" si="20"/>
        <v>1000000</v>
      </c>
      <c r="I40" s="106">
        <f t="shared" si="20"/>
        <v>1000000</v>
      </c>
      <c r="J40" s="106">
        <f t="shared" si="20"/>
        <v>1000000</v>
      </c>
      <c r="K40" s="106">
        <f t="shared" si="20"/>
        <v>1000000</v>
      </c>
      <c r="L40" s="106">
        <f t="shared" si="20"/>
        <v>1000000</v>
      </c>
      <c r="M40" s="106">
        <f t="shared" si="20"/>
        <v>1000000</v>
      </c>
      <c r="N40" s="106">
        <f t="shared" si="20"/>
        <v>1000000</v>
      </c>
    </row>
    <row r="41" spans="1:14" x14ac:dyDescent="0.25">
      <c r="A41" s="879"/>
      <c r="B41" s="68">
        <v>5</v>
      </c>
      <c r="C41" s="345"/>
      <c r="D41" s="106">
        <f t="shared" si="21"/>
        <v>1000000</v>
      </c>
      <c r="E41" s="106">
        <f t="shared" si="20"/>
        <v>1000000</v>
      </c>
      <c r="F41" s="106">
        <f t="shared" si="20"/>
        <v>1000000</v>
      </c>
      <c r="G41" s="106">
        <f t="shared" si="20"/>
        <v>1000000</v>
      </c>
      <c r="H41" s="106">
        <f t="shared" si="20"/>
        <v>1000000</v>
      </c>
      <c r="I41" s="106">
        <f t="shared" si="20"/>
        <v>1000000</v>
      </c>
      <c r="J41" s="106">
        <f t="shared" si="20"/>
        <v>1000000</v>
      </c>
      <c r="K41" s="106">
        <f t="shared" si="20"/>
        <v>1000000</v>
      </c>
      <c r="L41" s="106">
        <f t="shared" si="20"/>
        <v>1000000</v>
      </c>
      <c r="M41" s="106">
        <f t="shared" si="20"/>
        <v>1000000</v>
      </c>
      <c r="N41" s="106">
        <f t="shared" si="20"/>
        <v>1000000</v>
      </c>
    </row>
    <row r="42" spans="1:14" x14ac:dyDescent="0.25">
      <c r="A42" s="879"/>
      <c r="B42" s="68">
        <v>6</v>
      </c>
      <c r="C42" s="345"/>
      <c r="D42" s="106">
        <f t="shared" si="21"/>
        <v>1000000</v>
      </c>
      <c r="E42" s="106">
        <f t="shared" si="20"/>
        <v>1000000</v>
      </c>
      <c r="F42" s="106">
        <f t="shared" si="20"/>
        <v>1000000</v>
      </c>
      <c r="G42" s="106">
        <f t="shared" si="20"/>
        <v>1000000</v>
      </c>
      <c r="H42" s="106">
        <f t="shared" si="20"/>
        <v>1000000</v>
      </c>
      <c r="I42" s="106">
        <f t="shared" si="20"/>
        <v>1000000</v>
      </c>
      <c r="J42" s="106">
        <f t="shared" si="20"/>
        <v>1000000</v>
      </c>
      <c r="K42" s="106">
        <f t="shared" si="20"/>
        <v>1000000</v>
      </c>
      <c r="L42" s="106">
        <f t="shared" si="20"/>
        <v>1000000</v>
      </c>
      <c r="M42" s="106">
        <f t="shared" si="20"/>
        <v>1000000</v>
      </c>
      <c r="N42" s="106">
        <f t="shared" si="20"/>
        <v>6</v>
      </c>
    </row>
    <row r="43" spans="1:14" x14ac:dyDescent="0.25">
      <c r="A43" s="879"/>
      <c r="B43" s="68">
        <v>7</v>
      </c>
      <c r="C43" s="345"/>
      <c r="D43" s="106">
        <f t="shared" si="21"/>
        <v>1000000</v>
      </c>
      <c r="E43" s="106">
        <f t="shared" si="20"/>
        <v>1000000</v>
      </c>
      <c r="F43" s="106">
        <f t="shared" si="20"/>
        <v>1000000</v>
      </c>
      <c r="G43" s="106">
        <f t="shared" si="20"/>
        <v>1000000</v>
      </c>
      <c r="H43" s="106">
        <f t="shared" si="20"/>
        <v>1000000</v>
      </c>
      <c r="I43" s="106">
        <f t="shared" si="20"/>
        <v>1000000</v>
      </c>
      <c r="J43" s="106">
        <f t="shared" si="20"/>
        <v>1000000</v>
      </c>
      <c r="K43" s="106">
        <f t="shared" si="20"/>
        <v>1000000</v>
      </c>
      <c r="L43" s="106">
        <f t="shared" si="20"/>
        <v>1000000</v>
      </c>
      <c r="M43" s="106">
        <f t="shared" si="20"/>
        <v>1000000</v>
      </c>
      <c r="N43" s="106">
        <f t="shared" si="20"/>
        <v>7</v>
      </c>
    </row>
    <row r="44" spans="1:14" x14ac:dyDescent="0.25">
      <c r="A44" s="879"/>
      <c r="B44" s="68">
        <v>8</v>
      </c>
      <c r="C44" s="345"/>
      <c r="D44" s="106">
        <f t="shared" si="21"/>
        <v>1000000</v>
      </c>
      <c r="E44" s="106">
        <f t="shared" si="20"/>
        <v>1000000</v>
      </c>
      <c r="F44" s="106">
        <f t="shared" si="20"/>
        <v>1000000</v>
      </c>
      <c r="G44" s="106">
        <f t="shared" si="20"/>
        <v>1000000</v>
      </c>
      <c r="H44" s="106">
        <f t="shared" si="20"/>
        <v>1000000</v>
      </c>
      <c r="I44" s="106">
        <f t="shared" si="20"/>
        <v>1000000</v>
      </c>
      <c r="J44" s="106">
        <f t="shared" si="20"/>
        <v>1000000</v>
      </c>
      <c r="K44" s="106">
        <f t="shared" si="20"/>
        <v>1000000</v>
      </c>
      <c r="L44" s="106">
        <f t="shared" si="20"/>
        <v>1000000</v>
      </c>
      <c r="M44" s="106">
        <f t="shared" si="20"/>
        <v>1000000</v>
      </c>
      <c r="N44" s="106">
        <f t="shared" si="20"/>
        <v>8</v>
      </c>
    </row>
    <row r="45" spans="1:14" x14ac:dyDescent="0.25">
      <c r="A45" s="879"/>
      <c r="B45" s="68">
        <v>9</v>
      </c>
      <c r="C45" s="345"/>
      <c r="D45" s="106">
        <f t="shared" si="21"/>
        <v>1000000</v>
      </c>
      <c r="E45" s="106">
        <f t="shared" si="20"/>
        <v>1000000</v>
      </c>
      <c r="F45" s="106">
        <f t="shared" si="20"/>
        <v>1000000</v>
      </c>
      <c r="G45" s="106">
        <f t="shared" si="20"/>
        <v>1000000</v>
      </c>
      <c r="H45" s="106">
        <f t="shared" si="20"/>
        <v>1000000</v>
      </c>
      <c r="I45" s="106">
        <f t="shared" si="20"/>
        <v>1000000</v>
      </c>
      <c r="J45" s="106">
        <f t="shared" si="20"/>
        <v>1000000</v>
      </c>
      <c r="K45" s="106">
        <f t="shared" si="20"/>
        <v>1000000</v>
      </c>
      <c r="L45" s="106">
        <f t="shared" si="20"/>
        <v>1000000</v>
      </c>
      <c r="M45" s="106">
        <f t="shared" si="20"/>
        <v>1000000</v>
      </c>
      <c r="N45" s="106">
        <f t="shared" si="20"/>
        <v>9</v>
      </c>
    </row>
    <row r="46" spans="1:14" x14ac:dyDescent="0.25">
      <c r="A46" s="879"/>
      <c r="B46" s="68">
        <v>10</v>
      </c>
      <c r="C46" s="345"/>
      <c r="D46" s="106">
        <f t="shared" si="21"/>
        <v>10</v>
      </c>
      <c r="E46" s="106">
        <f t="shared" si="20"/>
        <v>1000000</v>
      </c>
      <c r="F46" s="106">
        <f t="shared" si="20"/>
        <v>1000000</v>
      </c>
      <c r="G46" s="106">
        <f t="shared" si="20"/>
        <v>1000000</v>
      </c>
      <c r="H46" s="106">
        <f t="shared" si="20"/>
        <v>1000000</v>
      </c>
      <c r="I46" s="106">
        <f t="shared" si="20"/>
        <v>1000000</v>
      </c>
      <c r="J46" s="106">
        <f t="shared" si="20"/>
        <v>1000000</v>
      </c>
      <c r="K46" s="106">
        <f t="shared" si="20"/>
        <v>1000000</v>
      </c>
      <c r="L46" s="106">
        <f t="shared" si="20"/>
        <v>1000000</v>
      </c>
      <c r="M46" s="106">
        <f t="shared" si="20"/>
        <v>1000000</v>
      </c>
      <c r="N46" s="106">
        <f t="shared" si="20"/>
        <v>10</v>
      </c>
    </row>
    <row r="47" spans="1:14" x14ac:dyDescent="0.25">
      <c r="A47" s="879"/>
      <c r="B47" s="68">
        <v>11</v>
      </c>
      <c r="C47" s="345"/>
      <c r="D47" s="106">
        <f t="shared" si="21"/>
        <v>11</v>
      </c>
      <c r="E47" s="106">
        <f t="shared" si="20"/>
        <v>11</v>
      </c>
      <c r="F47" s="106">
        <f t="shared" si="20"/>
        <v>1000000</v>
      </c>
      <c r="G47" s="106">
        <f t="shared" si="20"/>
        <v>1000000</v>
      </c>
      <c r="H47" s="106">
        <f t="shared" si="20"/>
        <v>1000000</v>
      </c>
      <c r="I47" s="106">
        <f t="shared" si="20"/>
        <v>1000000</v>
      </c>
      <c r="J47" s="106">
        <f t="shared" si="20"/>
        <v>1000000</v>
      </c>
      <c r="K47" s="106">
        <f t="shared" si="20"/>
        <v>1000000</v>
      </c>
      <c r="L47" s="106">
        <f t="shared" si="20"/>
        <v>1000000</v>
      </c>
      <c r="M47" s="106">
        <f t="shared" si="20"/>
        <v>1000000</v>
      </c>
      <c r="N47" s="106">
        <f t="shared" si="20"/>
        <v>11</v>
      </c>
    </row>
    <row r="48" spans="1:14" x14ac:dyDescent="0.25">
      <c r="A48" s="879"/>
      <c r="B48" s="68">
        <v>12</v>
      </c>
      <c r="C48" s="345"/>
      <c r="D48" s="106">
        <f t="shared" si="21"/>
        <v>12</v>
      </c>
      <c r="E48" s="106">
        <f t="shared" si="20"/>
        <v>12</v>
      </c>
      <c r="F48" s="106">
        <f t="shared" si="20"/>
        <v>1000000</v>
      </c>
      <c r="G48" s="106">
        <f t="shared" si="20"/>
        <v>1000000</v>
      </c>
      <c r="H48" s="106">
        <f t="shared" si="20"/>
        <v>1000000</v>
      </c>
      <c r="I48" s="106">
        <f t="shared" si="20"/>
        <v>1000000</v>
      </c>
      <c r="J48" s="106">
        <f t="shared" si="20"/>
        <v>1000000</v>
      </c>
      <c r="K48" s="106">
        <f t="shared" si="20"/>
        <v>1000000</v>
      </c>
      <c r="L48" s="106">
        <f t="shared" si="20"/>
        <v>1000000</v>
      </c>
      <c r="M48" s="106">
        <f t="shared" si="20"/>
        <v>1000000</v>
      </c>
      <c r="N48" s="106">
        <f t="shared" si="20"/>
        <v>12</v>
      </c>
    </row>
    <row r="49" spans="1:14" x14ac:dyDescent="0.25">
      <c r="A49" s="879"/>
      <c r="B49" s="68">
        <v>13</v>
      </c>
      <c r="C49" s="345"/>
      <c r="D49" s="106">
        <f t="shared" si="21"/>
        <v>13</v>
      </c>
      <c r="E49" s="106">
        <f t="shared" si="20"/>
        <v>13</v>
      </c>
      <c r="F49" s="106">
        <f t="shared" si="20"/>
        <v>1000000</v>
      </c>
      <c r="G49" s="106">
        <f t="shared" si="20"/>
        <v>1000000</v>
      </c>
      <c r="H49" s="106">
        <f t="shared" si="20"/>
        <v>1000000</v>
      </c>
      <c r="I49" s="106">
        <f t="shared" si="20"/>
        <v>1000000</v>
      </c>
      <c r="J49" s="106">
        <f t="shared" si="20"/>
        <v>1000000</v>
      </c>
      <c r="K49" s="106">
        <f t="shared" si="20"/>
        <v>1000000</v>
      </c>
      <c r="L49" s="106">
        <f t="shared" si="20"/>
        <v>1000000</v>
      </c>
      <c r="M49" s="106">
        <f t="shared" si="20"/>
        <v>1000000</v>
      </c>
      <c r="N49" s="106">
        <f t="shared" si="20"/>
        <v>13</v>
      </c>
    </row>
    <row r="50" spans="1:14" x14ac:dyDescent="0.25">
      <c r="A50" s="879"/>
      <c r="B50" s="68">
        <v>14</v>
      </c>
      <c r="C50" s="345"/>
      <c r="D50" s="106">
        <f t="shared" si="21"/>
        <v>14</v>
      </c>
      <c r="E50" s="106">
        <f t="shared" si="20"/>
        <v>14</v>
      </c>
      <c r="F50" s="106">
        <f t="shared" si="20"/>
        <v>1000000</v>
      </c>
      <c r="G50" s="106">
        <f t="shared" si="20"/>
        <v>1000000</v>
      </c>
      <c r="H50" s="106">
        <f t="shared" si="20"/>
        <v>1000000</v>
      </c>
      <c r="I50" s="106">
        <f t="shared" si="20"/>
        <v>1000000</v>
      </c>
      <c r="J50" s="106">
        <f t="shared" si="20"/>
        <v>1000000</v>
      </c>
      <c r="K50" s="106">
        <f t="shared" si="20"/>
        <v>1000000</v>
      </c>
      <c r="L50" s="106">
        <f t="shared" si="20"/>
        <v>1000000</v>
      </c>
      <c r="M50" s="106">
        <f t="shared" si="20"/>
        <v>1000000</v>
      </c>
      <c r="N50" s="106">
        <f t="shared" si="20"/>
        <v>14</v>
      </c>
    </row>
    <row r="51" spans="1:14" x14ac:dyDescent="0.25">
      <c r="A51" s="879"/>
      <c r="B51" s="68">
        <v>15</v>
      </c>
      <c r="C51" s="345"/>
      <c r="D51" s="106">
        <f t="shared" si="21"/>
        <v>15</v>
      </c>
      <c r="E51" s="106">
        <f t="shared" si="20"/>
        <v>15</v>
      </c>
      <c r="F51" s="106">
        <f t="shared" si="20"/>
        <v>1000000</v>
      </c>
      <c r="G51" s="106">
        <f t="shared" si="20"/>
        <v>1000000</v>
      </c>
      <c r="H51" s="106">
        <f t="shared" si="20"/>
        <v>1000000</v>
      </c>
      <c r="I51" s="106">
        <f t="shared" si="20"/>
        <v>1000000</v>
      </c>
      <c r="J51" s="106">
        <f t="shared" si="20"/>
        <v>1000000</v>
      </c>
      <c r="K51" s="106">
        <f t="shared" si="20"/>
        <v>1000000</v>
      </c>
      <c r="L51" s="106">
        <f t="shared" si="20"/>
        <v>1000000</v>
      </c>
      <c r="M51" s="106">
        <f t="shared" si="20"/>
        <v>1000000</v>
      </c>
      <c r="N51" s="106">
        <f t="shared" si="20"/>
        <v>15</v>
      </c>
    </row>
    <row r="52" spans="1:14" x14ac:dyDescent="0.25">
      <c r="A52" s="879"/>
      <c r="B52" s="68">
        <v>16</v>
      </c>
      <c r="C52" s="345"/>
      <c r="D52" s="106">
        <f t="shared" si="21"/>
        <v>16</v>
      </c>
      <c r="E52" s="106">
        <f t="shared" si="20"/>
        <v>16</v>
      </c>
      <c r="F52" s="106">
        <f t="shared" si="20"/>
        <v>1000000</v>
      </c>
      <c r="G52" s="106">
        <f t="shared" si="20"/>
        <v>1000000</v>
      </c>
      <c r="H52" s="106">
        <f t="shared" si="20"/>
        <v>1000000</v>
      </c>
      <c r="I52" s="106">
        <f t="shared" si="20"/>
        <v>1000000</v>
      </c>
      <c r="J52" s="106">
        <f t="shared" si="20"/>
        <v>1000000</v>
      </c>
      <c r="K52" s="106">
        <f t="shared" si="20"/>
        <v>1000000</v>
      </c>
      <c r="L52" s="106">
        <f t="shared" si="20"/>
        <v>1000000</v>
      </c>
      <c r="M52" s="106">
        <f t="shared" si="20"/>
        <v>1000000</v>
      </c>
      <c r="N52" s="106">
        <f t="shared" si="20"/>
        <v>16</v>
      </c>
    </row>
    <row r="53" spans="1:14" x14ac:dyDescent="0.25">
      <c r="A53" s="879"/>
      <c r="B53" s="68">
        <v>18</v>
      </c>
      <c r="C53" s="345"/>
      <c r="D53" s="106">
        <f t="shared" si="21"/>
        <v>18</v>
      </c>
      <c r="E53" s="106">
        <f t="shared" si="20"/>
        <v>18</v>
      </c>
      <c r="F53" s="106">
        <f t="shared" si="20"/>
        <v>1000000</v>
      </c>
      <c r="G53" s="106">
        <f t="shared" si="20"/>
        <v>1000000</v>
      </c>
      <c r="H53" s="106">
        <f t="shared" si="20"/>
        <v>1000000</v>
      </c>
      <c r="I53" s="106">
        <f t="shared" si="20"/>
        <v>1000000</v>
      </c>
      <c r="J53" s="106">
        <f t="shared" si="20"/>
        <v>1000000</v>
      </c>
      <c r="K53" s="106">
        <f t="shared" si="20"/>
        <v>1000000</v>
      </c>
      <c r="L53" s="106">
        <f t="shared" si="20"/>
        <v>1000000</v>
      </c>
      <c r="M53" s="106">
        <f t="shared" si="20"/>
        <v>1000000</v>
      </c>
      <c r="N53" s="106">
        <f t="shared" si="20"/>
        <v>18</v>
      </c>
    </row>
    <row r="54" spans="1:14" x14ac:dyDescent="0.25">
      <c r="A54" s="879"/>
      <c r="B54" s="68">
        <v>20</v>
      </c>
      <c r="C54" s="345"/>
      <c r="D54" s="106">
        <f t="shared" si="21"/>
        <v>20</v>
      </c>
      <c r="E54" s="106">
        <f t="shared" si="21"/>
        <v>20</v>
      </c>
      <c r="F54" s="106">
        <f t="shared" si="21"/>
        <v>1000000</v>
      </c>
      <c r="G54" s="106">
        <f t="shared" si="21"/>
        <v>1000000</v>
      </c>
      <c r="H54" s="106">
        <f t="shared" si="21"/>
        <v>1000000</v>
      </c>
      <c r="I54" s="106">
        <f t="shared" si="21"/>
        <v>1000000</v>
      </c>
      <c r="J54" s="106">
        <f t="shared" si="21"/>
        <v>1000000</v>
      </c>
      <c r="K54" s="106">
        <f t="shared" si="21"/>
        <v>1000000</v>
      </c>
      <c r="L54" s="106">
        <f t="shared" si="21"/>
        <v>1000000</v>
      </c>
      <c r="M54" s="106">
        <f t="shared" si="21"/>
        <v>1000000</v>
      </c>
      <c r="N54" s="106">
        <f t="shared" si="21"/>
        <v>20</v>
      </c>
    </row>
    <row r="55" spans="1:14" x14ac:dyDescent="0.25">
      <c r="A55" s="879"/>
      <c r="B55" s="68">
        <v>22</v>
      </c>
      <c r="C55" s="345"/>
      <c r="D55" s="106">
        <f t="shared" si="21"/>
        <v>22</v>
      </c>
      <c r="E55" s="106">
        <f t="shared" si="21"/>
        <v>22</v>
      </c>
      <c r="F55" s="106">
        <f t="shared" si="21"/>
        <v>1000000</v>
      </c>
      <c r="G55" s="106">
        <f t="shared" si="21"/>
        <v>1000000</v>
      </c>
      <c r="H55" s="106">
        <f t="shared" si="21"/>
        <v>1000000</v>
      </c>
      <c r="I55" s="106">
        <f t="shared" si="21"/>
        <v>1000000</v>
      </c>
      <c r="J55" s="106">
        <f t="shared" si="21"/>
        <v>1000000</v>
      </c>
      <c r="K55" s="106">
        <f t="shared" si="21"/>
        <v>1000000</v>
      </c>
      <c r="L55" s="106">
        <f t="shared" si="21"/>
        <v>1000000</v>
      </c>
      <c r="M55" s="106">
        <f t="shared" si="21"/>
        <v>1000000</v>
      </c>
      <c r="N55" s="106">
        <f t="shared" si="21"/>
        <v>22</v>
      </c>
    </row>
    <row r="56" spans="1:14" x14ac:dyDescent="0.25">
      <c r="A56" s="879"/>
      <c r="B56" s="68">
        <v>24</v>
      </c>
      <c r="C56" s="345"/>
      <c r="D56" s="106">
        <f t="shared" si="21"/>
        <v>24</v>
      </c>
      <c r="E56" s="106">
        <f t="shared" si="21"/>
        <v>24</v>
      </c>
      <c r="F56" s="106">
        <f t="shared" si="21"/>
        <v>1000000</v>
      </c>
      <c r="G56" s="106">
        <f t="shared" si="21"/>
        <v>1000000</v>
      </c>
      <c r="H56" s="106">
        <f t="shared" si="21"/>
        <v>1000000</v>
      </c>
      <c r="I56" s="106">
        <f t="shared" si="21"/>
        <v>1000000</v>
      </c>
      <c r="J56" s="106">
        <f t="shared" si="21"/>
        <v>1000000</v>
      </c>
      <c r="K56" s="106">
        <f t="shared" si="21"/>
        <v>1000000</v>
      </c>
      <c r="L56" s="106">
        <f t="shared" si="21"/>
        <v>1000000</v>
      </c>
      <c r="M56" s="106">
        <f t="shared" si="21"/>
        <v>1000000</v>
      </c>
      <c r="N56" s="106">
        <f t="shared" si="21"/>
        <v>24</v>
      </c>
    </row>
    <row r="57" spans="1:14" x14ac:dyDescent="0.25">
      <c r="A57" s="879"/>
      <c r="B57" s="68">
        <v>26</v>
      </c>
      <c r="C57" s="345"/>
      <c r="D57" s="106">
        <f t="shared" si="21"/>
        <v>26</v>
      </c>
      <c r="E57" s="106">
        <f t="shared" si="21"/>
        <v>26</v>
      </c>
      <c r="F57" s="106">
        <f t="shared" si="21"/>
        <v>1000000</v>
      </c>
      <c r="G57" s="106">
        <f t="shared" si="21"/>
        <v>1000000</v>
      </c>
      <c r="H57" s="106">
        <f t="shared" si="21"/>
        <v>1000000</v>
      </c>
      <c r="I57" s="106">
        <f t="shared" si="21"/>
        <v>1000000</v>
      </c>
      <c r="J57" s="106">
        <f t="shared" si="21"/>
        <v>1000000</v>
      </c>
      <c r="K57" s="106">
        <f t="shared" si="21"/>
        <v>1000000</v>
      </c>
      <c r="L57" s="106">
        <f t="shared" si="21"/>
        <v>1000000</v>
      </c>
      <c r="M57" s="106">
        <f t="shared" si="21"/>
        <v>1000000</v>
      </c>
      <c r="N57" s="106">
        <f t="shared" si="21"/>
        <v>26</v>
      </c>
    </row>
    <row r="58" spans="1:14" x14ac:dyDescent="0.25">
      <c r="A58" s="879"/>
      <c r="B58" s="68">
        <v>28</v>
      </c>
      <c r="C58" s="345"/>
      <c r="D58" s="106">
        <f t="shared" si="21"/>
        <v>28</v>
      </c>
      <c r="E58" s="106">
        <f t="shared" si="21"/>
        <v>28</v>
      </c>
      <c r="F58" s="106">
        <f t="shared" si="21"/>
        <v>1000000</v>
      </c>
      <c r="G58" s="106">
        <f t="shared" si="21"/>
        <v>28</v>
      </c>
      <c r="H58" s="106">
        <f t="shared" si="21"/>
        <v>1000000</v>
      </c>
      <c r="I58" s="106">
        <f t="shared" si="21"/>
        <v>1000000</v>
      </c>
      <c r="J58" s="106">
        <f t="shared" si="21"/>
        <v>1000000</v>
      </c>
      <c r="K58" s="106">
        <f t="shared" si="21"/>
        <v>1000000</v>
      </c>
      <c r="L58" s="106">
        <f t="shared" si="21"/>
        <v>1000000</v>
      </c>
      <c r="M58" s="106">
        <f t="shared" si="21"/>
        <v>1000000</v>
      </c>
      <c r="N58" s="106">
        <f t="shared" si="21"/>
        <v>28</v>
      </c>
    </row>
    <row r="59" spans="1:14" x14ac:dyDescent="0.25">
      <c r="A59" s="879"/>
      <c r="B59" s="68">
        <v>30</v>
      </c>
      <c r="C59" s="345"/>
      <c r="D59" s="106">
        <f t="shared" si="21"/>
        <v>30</v>
      </c>
      <c r="E59" s="106">
        <f t="shared" si="21"/>
        <v>30</v>
      </c>
      <c r="F59" s="106">
        <f t="shared" si="21"/>
        <v>1000000</v>
      </c>
      <c r="G59" s="106">
        <f t="shared" si="21"/>
        <v>30</v>
      </c>
      <c r="H59" s="106">
        <f t="shared" si="21"/>
        <v>1000000</v>
      </c>
      <c r="I59" s="106">
        <f t="shared" si="21"/>
        <v>1000000</v>
      </c>
      <c r="J59" s="106">
        <f t="shared" si="21"/>
        <v>1000000</v>
      </c>
      <c r="K59" s="106">
        <f t="shared" si="21"/>
        <v>1000000</v>
      </c>
      <c r="L59" s="106">
        <f t="shared" si="21"/>
        <v>1000000</v>
      </c>
      <c r="M59" s="106">
        <f t="shared" si="21"/>
        <v>1000000</v>
      </c>
      <c r="N59" s="106">
        <f t="shared" si="21"/>
        <v>30</v>
      </c>
    </row>
    <row r="60" spans="1:14" x14ac:dyDescent="0.25">
      <c r="A60" s="879"/>
      <c r="B60" s="68">
        <v>32</v>
      </c>
      <c r="C60" s="345"/>
      <c r="D60" s="106">
        <f t="shared" si="21"/>
        <v>32</v>
      </c>
      <c r="E60" s="106">
        <f t="shared" si="21"/>
        <v>32</v>
      </c>
      <c r="F60" s="106">
        <f t="shared" si="21"/>
        <v>1000000</v>
      </c>
      <c r="G60" s="106">
        <f t="shared" si="21"/>
        <v>32</v>
      </c>
      <c r="H60" s="106">
        <f t="shared" si="21"/>
        <v>1000000</v>
      </c>
      <c r="I60" s="106">
        <f t="shared" si="21"/>
        <v>1000000</v>
      </c>
      <c r="J60" s="106">
        <f t="shared" si="21"/>
        <v>1000000</v>
      </c>
      <c r="K60" s="106">
        <f t="shared" si="21"/>
        <v>1000000</v>
      </c>
      <c r="L60" s="106">
        <f t="shared" si="21"/>
        <v>1000000</v>
      </c>
      <c r="M60" s="106">
        <f t="shared" si="21"/>
        <v>1000000</v>
      </c>
      <c r="N60" s="106">
        <f t="shared" si="21"/>
        <v>32</v>
      </c>
    </row>
    <row r="61" spans="1:14" x14ac:dyDescent="0.25">
      <c r="A61" s="879"/>
      <c r="B61" s="68">
        <v>36</v>
      </c>
      <c r="C61" s="345"/>
      <c r="D61" s="106">
        <f t="shared" si="21"/>
        <v>36</v>
      </c>
      <c r="E61" s="106">
        <f t="shared" si="21"/>
        <v>36</v>
      </c>
      <c r="F61" s="106">
        <f t="shared" si="21"/>
        <v>36</v>
      </c>
      <c r="G61" s="106">
        <f t="shared" si="21"/>
        <v>36</v>
      </c>
      <c r="H61" s="106">
        <f t="shared" si="21"/>
        <v>1000000</v>
      </c>
      <c r="I61" s="106">
        <f t="shared" si="21"/>
        <v>1000000</v>
      </c>
      <c r="J61" s="106">
        <f t="shared" si="21"/>
        <v>1000000</v>
      </c>
      <c r="K61" s="106">
        <f t="shared" si="21"/>
        <v>1000000</v>
      </c>
      <c r="L61" s="106">
        <f t="shared" si="21"/>
        <v>1000000</v>
      </c>
      <c r="M61" s="106">
        <f t="shared" si="21"/>
        <v>1000000</v>
      </c>
      <c r="N61" s="106">
        <f t="shared" si="21"/>
        <v>36</v>
      </c>
    </row>
    <row r="62" spans="1:14" x14ac:dyDescent="0.25">
      <c r="A62" s="879"/>
      <c r="B62" s="68">
        <v>40</v>
      </c>
      <c r="C62" s="345"/>
      <c r="D62" s="106">
        <f t="shared" si="21"/>
        <v>40</v>
      </c>
      <c r="E62" s="106">
        <f t="shared" si="21"/>
        <v>40</v>
      </c>
      <c r="F62" s="106">
        <f t="shared" si="21"/>
        <v>40</v>
      </c>
      <c r="G62" s="106">
        <f t="shared" si="21"/>
        <v>40</v>
      </c>
      <c r="H62" s="106">
        <f t="shared" si="21"/>
        <v>1000000</v>
      </c>
      <c r="I62" s="106">
        <f t="shared" si="21"/>
        <v>1000000</v>
      </c>
      <c r="J62" s="106">
        <f t="shared" si="21"/>
        <v>1000000</v>
      </c>
      <c r="K62" s="106">
        <f t="shared" si="21"/>
        <v>1000000</v>
      </c>
      <c r="L62" s="106">
        <f t="shared" si="21"/>
        <v>1000000</v>
      </c>
      <c r="M62" s="106">
        <f t="shared" si="21"/>
        <v>1000000</v>
      </c>
      <c r="N62" s="106">
        <f t="shared" si="21"/>
        <v>40</v>
      </c>
    </row>
    <row r="63" spans="1:14" x14ac:dyDescent="0.25">
      <c r="A63" s="879"/>
      <c r="B63" s="68">
        <v>44</v>
      </c>
      <c r="C63" s="345"/>
      <c r="D63" s="106">
        <f t="shared" si="21"/>
        <v>44</v>
      </c>
      <c r="E63" s="106">
        <f t="shared" si="21"/>
        <v>44</v>
      </c>
      <c r="F63" s="106">
        <f t="shared" si="21"/>
        <v>44</v>
      </c>
      <c r="G63" s="106">
        <f t="shared" si="21"/>
        <v>44</v>
      </c>
      <c r="H63" s="106">
        <f t="shared" si="21"/>
        <v>1000000</v>
      </c>
      <c r="I63" s="106">
        <f t="shared" si="21"/>
        <v>1000000</v>
      </c>
      <c r="J63" s="106">
        <f t="shared" si="21"/>
        <v>1000000</v>
      </c>
      <c r="K63" s="106">
        <f t="shared" si="21"/>
        <v>1000000</v>
      </c>
      <c r="L63" s="106">
        <f t="shared" si="21"/>
        <v>1000000</v>
      </c>
      <c r="M63" s="106">
        <f t="shared" si="21"/>
        <v>1000000</v>
      </c>
      <c r="N63" s="106">
        <f t="shared" si="21"/>
        <v>44</v>
      </c>
    </row>
    <row r="64" spans="1:14" x14ac:dyDescent="0.25">
      <c r="A64" s="879"/>
      <c r="B64" s="68">
        <v>48</v>
      </c>
      <c r="C64" s="345"/>
      <c r="D64" s="106">
        <f t="shared" si="21"/>
        <v>48</v>
      </c>
      <c r="E64" s="106">
        <f t="shared" si="21"/>
        <v>48</v>
      </c>
      <c r="F64" s="106">
        <f t="shared" si="21"/>
        <v>48</v>
      </c>
      <c r="G64" s="106">
        <f t="shared" si="21"/>
        <v>48</v>
      </c>
      <c r="H64" s="106">
        <f t="shared" si="21"/>
        <v>1000000</v>
      </c>
      <c r="I64" s="106">
        <f t="shared" si="21"/>
        <v>1000000</v>
      </c>
      <c r="J64" s="106">
        <f t="shared" si="21"/>
        <v>1000000</v>
      </c>
      <c r="K64" s="106">
        <f t="shared" si="21"/>
        <v>1000000</v>
      </c>
      <c r="L64" s="106">
        <f t="shared" si="21"/>
        <v>1000000</v>
      </c>
      <c r="M64" s="106">
        <f t="shared" si="21"/>
        <v>1000000</v>
      </c>
      <c r="N64" s="106">
        <f t="shared" si="21"/>
        <v>48</v>
      </c>
    </row>
    <row r="65" spans="1:14" x14ac:dyDescent="0.25">
      <c r="A65" s="879"/>
      <c r="B65" s="68">
        <v>52</v>
      </c>
      <c r="C65" s="345"/>
      <c r="D65" s="106">
        <f t="shared" si="21"/>
        <v>52</v>
      </c>
      <c r="E65" s="106">
        <f t="shared" si="21"/>
        <v>52</v>
      </c>
      <c r="F65" s="106">
        <f t="shared" si="21"/>
        <v>52</v>
      </c>
      <c r="G65" s="106">
        <f t="shared" si="21"/>
        <v>52</v>
      </c>
      <c r="H65" s="106">
        <f t="shared" si="21"/>
        <v>1000000</v>
      </c>
      <c r="I65" s="106">
        <f t="shared" si="21"/>
        <v>1000000</v>
      </c>
      <c r="J65" s="106">
        <f t="shared" si="21"/>
        <v>1000000</v>
      </c>
      <c r="K65" s="106">
        <f t="shared" si="21"/>
        <v>1000000</v>
      </c>
      <c r="L65" s="106">
        <f t="shared" si="21"/>
        <v>1000000</v>
      </c>
      <c r="M65" s="106">
        <f t="shared" si="21"/>
        <v>1000000</v>
      </c>
      <c r="N65" s="106">
        <f t="shared" si="21"/>
        <v>52</v>
      </c>
    </row>
    <row r="66" spans="1:14" x14ac:dyDescent="0.25">
      <c r="A66" s="879"/>
      <c r="B66" s="68">
        <v>56</v>
      </c>
      <c r="C66" s="345"/>
      <c r="D66" s="106">
        <f t="shared" si="21"/>
        <v>56</v>
      </c>
      <c r="E66" s="106">
        <f t="shared" si="21"/>
        <v>56</v>
      </c>
      <c r="F66" s="106">
        <f t="shared" si="21"/>
        <v>56</v>
      </c>
      <c r="G66" s="106">
        <f t="shared" si="21"/>
        <v>56</v>
      </c>
      <c r="H66" s="106">
        <f t="shared" si="21"/>
        <v>1000000</v>
      </c>
      <c r="I66" s="106">
        <f t="shared" si="21"/>
        <v>1000000</v>
      </c>
      <c r="J66" s="106">
        <f t="shared" si="21"/>
        <v>1000000</v>
      </c>
      <c r="K66" s="106">
        <f t="shared" si="21"/>
        <v>1000000</v>
      </c>
      <c r="L66" s="106">
        <f t="shared" si="21"/>
        <v>1000000</v>
      </c>
      <c r="M66" s="106">
        <f t="shared" si="21"/>
        <v>1000000</v>
      </c>
      <c r="N66" s="106">
        <f t="shared" si="21"/>
        <v>56</v>
      </c>
    </row>
    <row r="67" spans="1:14" x14ac:dyDescent="0.25">
      <c r="A67" s="879"/>
      <c r="B67" s="68">
        <v>60</v>
      </c>
      <c r="C67" s="345"/>
      <c r="D67" s="106">
        <f t="shared" si="21"/>
        <v>60</v>
      </c>
      <c r="E67" s="106">
        <f t="shared" si="21"/>
        <v>60</v>
      </c>
      <c r="F67" s="106">
        <f t="shared" si="21"/>
        <v>60</v>
      </c>
      <c r="G67" s="106">
        <f t="shared" si="21"/>
        <v>60</v>
      </c>
      <c r="H67" s="106">
        <f t="shared" si="21"/>
        <v>1000000</v>
      </c>
      <c r="I67" s="106">
        <f t="shared" si="21"/>
        <v>1000000</v>
      </c>
      <c r="J67" s="106">
        <f t="shared" si="21"/>
        <v>1000000</v>
      </c>
      <c r="K67" s="106">
        <f t="shared" si="21"/>
        <v>1000000</v>
      </c>
      <c r="L67" s="106">
        <f t="shared" si="21"/>
        <v>1000000</v>
      </c>
      <c r="M67" s="106">
        <f t="shared" si="21"/>
        <v>1000000</v>
      </c>
      <c r="N67" s="106">
        <f t="shared" si="21"/>
        <v>60</v>
      </c>
    </row>
    <row r="68" spans="1:14" x14ac:dyDescent="0.25">
      <c r="A68" s="879"/>
      <c r="B68" s="68">
        <v>64</v>
      </c>
      <c r="C68" s="345"/>
      <c r="D68" s="106">
        <f t="shared" si="21"/>
        <v>64</v>
      </c>
      <c r="E68" s="106">
        <f t="shared" si="21"/>
        <v>64</v>
      </c>
      <c r="F68" s="106">
        <f t="shared" si="21"/>
        <v>64</v>
      </c>
      <c r="G68" s="106">
        <f t="shared" si="21"/>
        <v>64</v>
      </c>
      <c r="H68" s="106">
        <f t="shared" si="21"/>
        <v>1000000</v>
      </c>
      <c r="I68" s="106">
        <f t="shared" si="21"/>
        <v>1000000</v>
      </c>
      <c r="J68" s="106">
        <f t="shared" si="21"/>
        <v>1000000</v>
      </c>
      <c r="K68" s="106">
        <f t="shared" si="21"/>
        <v>1000000</v>
      </c>
      <c r="L68" s="106">
        <f t="shared" si="21"/>
        <v>1000000</v>
      </c>
      <c r="M68" s="106">
        <f t="shared" si="21"/>
        <v>1000000</v>
      </c>
      <c r="N68" s="106">
        <f t="shared" si="21"/>
        <v>64</v>
      </c>
    </row>
    <row r="69" spans="1:14" x14ac:dyDescent="0.25">
      <c r="A69" s="879"/>
      <c r="B69" s="68">
        <v>72</v>
      </c>
      <c r="C69" s="345"/>
      <c r="D69" s="106">
        <f t="shared" si="21"/>
        <v>72</v>
      </c>
      <c r="E69" s="106">
        <f t="shared" si="21"/>
        <v>72</v>
      </c>
      <c r="F69" s="106">
        <f t="shared" si="21"/>
        <v>72</v>
      </c>
      <c r="G69" s="106">
        <f t="shared" si="21"/>
        <v>72</v>
      </c>
      <c r="H69" s="106">
        <f t="shared" si="21"/>
        <v>1000000</v>
      </c>
      <c r="I69" s="106">
        <f t="shared" si="21"/>
        <v>1000000</v>
      </c>
      <c r="J69" s="106">
        <f t="shared" si="21"/>
        <v>1000000</v>
      </c>
      <c r="K69" s="106">
        <f t="shared" si="21"/>
        <v>1000000</v>
      </c>
      <c r="L69" s="106">
        <f t="shared" si="21"/>
        <v>1000000</v>
      </c>
      <c r="M69" s="106">
        <f t="shared" si="21"/>
        <v>1000000</v>
      </c>
      <c r="N69" s="106">
        <f t="shared" si="21"/>
        <v>72</v>
      </c>
    </row>
    <row r="70" spans="1:14" x14ac:dyDescent="0.25">
      <c r="A70" s="879"/>
      <c r="B70" s="68">
        <v>80</v>
      </c>
      <c r="C70" s="345"/>
      <c r="D70" s="106">
        <f t="shared" si="21"/>
        <v>80</v>
      </c>
      <c r="E70" s="106">
        <f t="shared" si="21"/>
        <v>80</v>
      </c>
      <c r="F70" s="106">
        <f t="shared" si="21"/>
        <v>80</v>
      </c>
      <c r="G70" s="106">
        <f t="shared" si="21"/>
        <v>80</v>
      </c>
      <c r="H70" s="106">
        <f t="shared" si="21"/>
        <v>1000000</v>
      </c>
      <c r="I70" s="106">
        <f t="shared" si="21"/>
        <v>1000000</v>
      </c>
      <c r="J70" s="106">
        <f t="shared" si="21"/>
        <v>1000000</v>
      </c>
      <c r="K70" s="106">
        <f t="shared" si="21"/>
        <v>1000000</v>
      </c>
      <c r="L70" s="106">
        <f t="shared" si="21"/>
        <v>1000000</v>
      </c>
      <c r="M70" s="106">
        <f t="shared" si="21"/>
        <v>1000000</v>
      </c>
      <c r="N70" s="106">
        <f t="shared" si="21"/>
        <v>80</v>
      </c>
    </row>
    <row r="71" spans="1:14" x14ac:dyDescent="0.25">
      <c r="A71" s="879"/>
      <c r="B71" s="68">
        <v>88</v>
      </c>
      <c r="C71" s="345"/>
      <c r="D71" s="106">
        <f t="shared" ref="D71:N88" si="22">IF($B71*D$20&gt;=D$7/D$13+D$6,$B71,10^6)</f>
        <v>88</v>
      </c>
      <c r="E71" s="106">
        <f t="shared" si="22"/>
        <v>88</v>
      </c>
      <c r="F71" s="106">
        <f t="shared" si="22"/>
        <v>88</v>
      </c>
      <c r="G71" s="106">
        <f t="shared" si="22"/>
        <v>88</v>
      </c>
      <c r="H71" s="106">
        <f t="shared" si="22"/>
        <v>1000000</v>
      </c>
      <c r="I71" s="106">
        <f t="shared" si="22"/>
        <v>1000000</v>
      </c>
      <c r="J71" s="106">
        <f t="shared" si="22"/>
        <v>1000000</v>
      </c>
      <c r="K71" s="106">
        <f t="shared" si="22"/>
        <v>1000000</v>
      </c>
      <c r="L71" s="106">
        <f t="shared" si="22"/>
        <v>1000000</v>
      </c>
      <c r="M71" s="106">
        <f t="shared" si="22"/>
        <v>1000000</v>
      </c>
      <c r="N71" s="106">
        <f t="shared" si="22"/>
        <v>88</v>
      </c>
    </row>
    <row r="72" spans="1:14" x14ac:dyDescent="0.25">
      <c r="A72" s="879"/>
      <c r="B72" s="68">
        <v>96</v>
      </c>
      <c r="C72" s="345"/>
      <c r="D72" s="106">
        <f t="shared" si="22"/>
        <v>96</v>
      </c>
      <c r="E72" s="106">
        <f t="shared" si="22"/>
        <v>96</v>
      </c>
      <c r="F72" s="106">
        <f t="shared" si="22"/>
        <v>96</v>
      </c>
      <c r="G72" s="106">
        <f t="shared" si="22"/>
        <v>96</v>
      </c>
      <c r="H72" s="106">
        <f t="shared" si="22"/>
        <v>1000000</v>
      </c>
      <c r="I72" s="106">
        <f t="shared" si="22"/>
        <v>1000000</v>
      </c>
      <c r="J72" s="106">
        <f t="shared" si="22"/>
        <v>1000000</v>
      </c>
      <c r="K72" s="106">
        <f t="shared" si="22"/>
        <v>1000000</v>
      </c>
      <c r="L72" s="106">
        <f t="shared" si="22"/>
        <v>1000000</v>
      </c>
      <c r="M72" s="106">
        <f t="shared" si="22"/>
        <v>1000000</v>
      </c>
      <c r="N72" s="106">
        <f t="shared" si="22"/>
        <v>96</v>
      </c>
    </row>
    <row r="73" spans="1:14" x14ac:dyDescent="0.25">
      <c r="A73" s="879"/>
      <c r="B73" s="68">
        <v>104</v>
      </c>
      <c r="C73" s="345"/>
      <c r="D73" s="106">
        <f t="shared" si="22"/>
        <v>104</v>
      </c>
      <c r="E73" s="106">
        <f t="shared" si="22"/>
        <v>104</v>
      </c>
      <c r="F73" s="106">
        <f t="shared" si="22"/>
        <v>104</v>
      </c>
      <c r="G73" s="106">
        <f t="shared" si="22"/>
        <v>104</v>
      </c>
      <c r="H73" s="106">
        <f t="shared" si="22"/>
        <v>1000000</v>
      </c>
      <c r="I73" s="106">
        <f t="shared" si="22"/>
        <v>1000000</v>
      </c>
      <c r="J73" s="106">
        <f t="shared" si="22"/>
        <v>1000000</v>
      </c>
      <c r="K73" s="106">
        <f t="shared" si="22"/>
        <v>1000000</v>
      </c>
      <c r="L73" s="106">
        <f t="shared" si="22"/>
        <v>1000000</v>
      </c>
      <c r="M73" s="106">
        <f t="shared" si="22"/>
        <v>1000000</v>
      </c>
      <c r="N73" s="106">
        <f t="shared" si="22"/>
        <v>104</v>
      </c>
    </row>
    <row r="74" spans="1:14" x14ac:dyDescent="0.25">
      <c r="A74" s="879"/>
      <c r="B74" s="68">
        <v>112</v>
      </c>
      <c r="C74" s="345"/>
      <c r="D74" s="106">
        <f t="shared" si="22"/>
        <v>112</v>
      </c>
      <c r="E74" s="106">
        <f t="shared" si="22"/>
        <v>112</v>
      </c>
      <c r="F74" s="106">
        <f t="shared" si="22"/>
        <v>112</v>
      </c>
      <c r="G74" s="106">
        <f t="shared" si="22"/>
        <v>112</v>
      </c>
      <c r="H74" s="106">
        <f t="shared" si="22"/>
        <v>1000000</v>
      </c>
      <c r="I74" s="106">
        <f t="shared" si="22"/>
        <v>1000000</v>
      </c>
      <c r="J74" s="106">
        <f t="shared" si="22"/>
        <v>1000000</v>
      </c>
      <c r="K74" s="106">
        <f t="shared" si="22"/>
        <v>1000000</v>
      </c>
      <c r="L74" s="106">
        <f t="shared" si="22"/>
        <v>1000000</v>
      </c>
      <c r="M74" s="106">
        <f t="shared" si="22"/>
        <v>1000000</v>
      </c>
      <c r="N74" s="106">
        <f t="shared" si="22"/>
        <v>112</v>
      </c>
    </row>
    <row r="75" spans="1:14" x14ac:dyDescent="0.25">
      <c r="A75" s="879"/>
      <c r="B75" s="68">
        <v>120</v>
      </c>
      <c r="C75" s="345"/>
      <c r="D75" s="106">
        <f t="shared" si="22"/>
        <v>120</v>
      </c>
      <c r="E75" s="106">
        <f t="shared" si="22"/>
        <v>120</v>
      </c>
      <c r="F75" s="106">
        <f t="shared" si="22"/>
        <v>120</v>
      </c>
      <c r="G75" s="106">
        <f t="shared" si="22"/>
        <v>120</v>
      </c>
      <c r="H75" s="106">
        <f t="shared" si="22"/>
        <v>1000000</v>
      </c>
      <c r="I75" s="106">
        <f t="shared" si="22"/>
        <v>1000000</v>
      </c>
      <c r="J75" s="106">
        <f t="shared" si="22"/>
        <v>1000000</v>
      </c>
      <c r="K75" s="106">
        <f t="shared" si="22"/>
        <v>1000000</v>
      </c>
      <c r="L75" s="106">
        <f t="shared" si="22"/>
        <v>1000000</v>
      </c>
      <c r="M75" s="106">
        <f t="shared" si="22"/>
        <v>1000000</v>
      </c>
      <c r="N75" s="106">
        <f t="shared" si="22"/>
        <v>120</v>
      </c>
    </row>
    <row r="76" spans="1:14" x14ac:dyDescent="0.25">
      <c r="A76" s="879"/>
      <c r="B76" s="68">
        <v>128</v>
      </c>
      <c r="C76" s="345"/>
      <c r="D76" s="106">
        <f t="shared" si="22"/>
        <v>128</v>
      </c>
      <c r="E76" s="106">
        <f t="shared" si="22"/>
        <v>128</v>
      </c>
      <c r="F76" s="106">
        <f t="shared" si="22"/>
        <v>128</v>
      </c>
      <c r="G76" s="106">
        <f t="shared" si="22"/>
        <v>128</v>
      </c>
      <c r="H76" s="106">
        <f t="shared" si="22"/>
        <v>1000000</v>
      </c>
      <c r="I76" s="106">
        <f t="shared" si="22"/>
        <v>1000000</v>
      </c>
      <c r="J76" s="106">
        <f t="shared" si="22"/>
        <v>1000000</v>
      </c>
      <c r="K76" s="106">
        <f t="shared" si="22"/>
        <v>1000000</v>
      </c>
      <c r="L76" s="106">
        <f t="shared" si="22"/>
        <v>1000000</v>
      </c>
      <c r="M76" s="106">
        <f t="shared" si="22"/>
        <v>1000000</v>
      </c>
      <c r="N76" s="106">
        <f t="shared" si="22"/>
        <v>128</v>
      </c>
    </row>
    <row r="77" spans="1:14" x14ac:dyDescent="0.25">
      <c r="A77" s="879"/>
      <c r="B77" s="68">
        <v>144</v>
      </c>
      <c r="C77" s="345"/>
      <c r="D77" s="106">
        <f t="shared" si="22"/>
        <v>144</v>
      </c>
      <c r="E77" s="106">
        <f t="shared" si="22"/>
        <v>144</v>
      </c>
      <c r="F77" s="106">
        <f t="shared" si="22"/>
        <v>144</v>
      </c>
      <c r="G77" s="106">
        <f t="shared" si="22"/>
        <v>144</v>
      </c>
      <c r="H77" s="106">
        <f t="shared" si="22"/>
        <v>1000000</v>
      </c>
      <c r="I77" s="106">
        <f t="shared" si="22"/>
        <v>1000000</v>
      </c>
      <c r="J77" s="106">
        <f t="shared" si="22"/>
        <v>1000000</v>
      </c>
      <c r="K77" s="106">
        <f t="shared" si="22"/>
        <v>1000000</v>
      </c>
      <c r="L77" s="106">
        <f t="shared" si="22"/>
        <v>1000000</v>
      </c>
      <c r="M77" s="106">
        <f t="shared" si="22"/>
        <v>1000000</v>
      </c>
      <c r="N77" s="106">
        <f t="shared" si="22"/>
        <v>144</v>
      </c>
    </row>
    <row r="78" spans="1:14" x14ac:dyDescent="0.25">
      <c r="A78" s="879"/>
      <c r="B78" s="68">
        <v>160</v>
      </c>
      <c r="C78" s="345"/>
      <c r="D78" s="106">
        <f t="shared" si="22"/>
        <v>160</v>
      </c>
      <c r="E78" s="106">
        <f t="shared" si="22"/>
        <v>160</v>
      </c>
      <c r="F78" s="106">
        <f t="shared" si="22"/>
        <v>160</v>
      </c>
      <c r="G78" s="106">
        <f t="shared" si="22"/>
        <v>160</v>
      </c>
      <c r="H78" s="106">
        <f t="shared" si="22"/>
        <v>1000000</v>
      </c>
      <c r="I78" s="106">
        <f t="shared" si="22"/>
        <v>1000000</v>
      </c>
      <c r="J78" s="106">
        <f t="shared" si="22"/>
        <v>1000000</v>
      </c>
      <c r="K78" s="106">
        <f t="shared" si="22"/>
        <v>1000000</v>
      </c>
      <c r="L78" s="106">
        <f t="shared" si="22"/>
        <v>1000000</v>
      </c>
      <c r="M78" s="106">
        <f t="shared" si="22"/>
        <v>1000000</v>
      </c>
      <c r="N78" s="106">
        <f t="shared" si="22"/>
        <v>160</v>
      </c>
    </row>
    <row r="79" spans="1:14" x14ac:dyDescent="0.25">
      <c r="A79" s="879"/>
      <c r="B79" s="68">
        <v>176</v>
      </c>
      <c r="C79" s="345"/>
      <c r="D79" s="106">
        <f t="shared" si="22"/>
        <v>176</v>
      </c>
      <c r="E79" s="106">
        <f t="shared" si="22"/>
        <v>176</v>
      </c>
      <c r="F79" s="106">
        <f t="shared" si="22"/>
        <v>176</v>
      </c>
      <c r="G79" s="106">
        <f t="shared" si="22"/>
        <v>176</v>
      </c>
      <c r="H79" s="106">
        <f t="shared" si="22"/>
        <v>176</v>
      </c>
      <c r="I79" s="106">
        <f t="shared" si="22"/>
        <v>176</v>
      </c>
      <c r="J79" s="106">
        <f t="shared" si="22"/>
        <v>1000000</v>
      </c>
      <c r="K79" s="106">
        <f t="shared" si="22"/>
        <v>1000000</v>
      </c>
      <c r="L79" s="106">
        <f t="shared" si="22"/>
        <v>1000000</v>
      </c>
      <c r="M79" s="106">
        <f t="shared" si="22"/>
        <v>1000000</v>
      </c>
      <c r="N79" s="106">
        <f t="shared" si="22"/>
        <v>176</v>
      </c>
    </row>
    <row r="80" spans="1:14" x14ac:dyDescent="0.25">
      <c r="A80" s="879"/>
      <c r="B80" s="68">
        <v>192</v>
      </c>
      <c r="C80" s="345"/>
      <c r="D80" s="106">
        <f t="shared" si="22"/>
        <v>192</v>
      </c>
      <c r="E80" s="106">
        <f t="shared" si="22"/>
        <v>192</v>
      </c>
      <c r="F80" s="106">
        <f t="shared" si="22"/>
        <v>192</v>
      </c>
      <c r="G80" s="106">
        <f t="shared" si="22"/>
        <v>192</v>
      </c>
      <c r="H80" s="106">
        <f t="shared" si="22"/>
        <v>192</v>
      </c>
      <c r="I80" s="106">
        <f t="shared" si="22"/>
        <v>192</v>
      </c>
      <c r="J80" s="106">
        <f t="shared" si="22"/>
        <v>1000000</v>
      </c>
      <c r="K80" s="106">
        <f t="shared" si="22"/>
        <v>1000000</v>
      </c>
      <c r="L80" s="106">
        <f t="shared" si="22"/>
        <v>1000000</v>
      </c>
      <c r="M80" s="106">
        <f t="shared" si="22"/>
        <v>1000000</v>
      </c>
      <c r="N80" s="106">
        <f t="shared" si="22"/>
        <v>192</v>
      </c>
    </row>
    <row r="81" spans="1:14" x14ac:dyDescent="0.25">
      <c r="A81" s="879"/>
      <c r="B81" s="68">
        <v>208</v>
      </c>
      <c r="C81" s="345"/>
      <c r="D81" s="106">
        <f t="shared" si="22"/>
        <v>208</v>
      </c>
      <c r="E81" s="106">
        <f t="shared" si="22"/>
        <v>208</v>
      </c>
      <c r="F81" s="106">
        <f t="shared" si="22"/>
        <v>208</v>
      </c>
      <c r="G81" s="106">
        <f t="shared" si="22"/>
        <v>208</v>
      </c>
      <c r="H81" s="106">
        <f t="shared" si="22"/>
        <v>208</v>
      </c>
      <c r="I81" s="106">
        <f t="shared" si="22"/>
        <v>208</v>
      </c>
      <c r="J81" s="106">
        <f t="shared" si="22"/>
        <v>1000000</v>
      </c>
      <c r="K81" s="106">
        <f t="shared" si="22"/>
        <v>1000000</v>
      </c>
      <c r="L81" s="106">
        <f t="shared" si="22"/>
        <v>1000000</v>
      </c>
      <c r="M81" s="106">
        <f t="shared" si="22"/>
        <v>1000000</v>
      </c>
      <c r="N81" s="106">
        <f t="shared" si="22"/>
        <v>208</v>
      </c>
    </row>
    <row r="82" spans="1:14" x14ac:dyDescent="0.25">
      <c r="A82" s="879"/>
      <c r="B82" s="68">
        <v>224</v>
      </c>
      <c r="C82" s="345"/>
      <c r="D82" s="106">
        <f t="shared" si="22"/>
        <v>224</v>
      </c>
      <c r="E82" s="106">
        <f t="shared" si="22"/>
        <v>224</v>
      </c>
      <c r="F82" s="106">
        <f t="shared" si="22"/>
        <v>224</v>
      </c>
      <c r="G82" s="106">
        <f t="shared" si="22"/>
        <v>224</v>
      </c>
      <c r="H82" s="106">
        <f t="shared" si="22"/>
        <v>224</v>
      </c>
      <c r="I82" s="106">
        <f t="shared" si="22"/>
        <v>224</v>
      </c>
      <c r="J82" s="106">
        <f t="shared" si="22"/>
        <v>1000000</v>
      </c>
      <c r="K82" s="106">
        <f t="shared" si="22"/>
        <v>1000000</v>
      </c>
      <c r="L82" s="106">
        <f t="shared" si="22"/>
        <v>1000000</v>
      </c>
      <c r="M82" s="106">
        <f t="shared" si="22"/>
        <v>1000000</v>
      </c>
      <c r="N82" s="106">
        <f t="shared" si="22"/>
        <v>224</v>
      </c>
    </row>
    <row r="83" spans="1:14" x14ac:dyDescent="0.25">
      <c r="A83" s="879"/>
      <c r="B83" s="68">
        <v>240</v>
      </c>
      <c r="C83" s="345"/>
      <c r="D83" s="106">
        <f t="shared" si="22"/>
        <v>240</v>
      </c>
      <c r="E83" s="106">
        <f t="shared" si="22"/>
        <v>240</v>
      </c>
      <c r="F83" s="106">
        <f t="shared" si="22"/>
        <v>240</v>
      </c>
      <c r="G83" s="106">
        <f t="shared" si="22"/>
        <v>240</v>
      </c>
      <c r="H83" s="106">
        <f t="shared" si="22"/>
        <v>240</v>
      </c>
      <c r="I83" s="106">
        <f t="shared" si="22"/>
        <v>240</v>
      </c>
      <c r="J83" s="106">
        <f t="shared" si="22"/>
        <v>1000000</v>
      </c>
      <c r="K83" s="106">
        <f t="shared" si="22"/>
        <v>1000000</v>
      </c>
      <c r="L83" s="106">
        <f t="shared" si="22"/>
        <v>1000000</v>
      </c>
      <c r="M83" s="106">
        <f t="shared" si="22"/>
        <v>1000000</v>
      </c>
      <c r="N83" s="106">
        <f t="shared" si="22"/>
        <v>240</v>
      </c>
    </row>
    <row r="84" spans="1:14" x14ac:dyDescent="0.25">
      <c r="A84" s="879"/>
      <c r="B84" s="68">
        <v>256</v>
      </c>
      <c r="C84" s="345"/>
      <c r="D84" s="106">
        <f t="shared" si="22"/>
        <v>256</v>
      </c>
      <c r="E84" s="106">
        <f t="shared" si="22"/>
        <v>256</v>
      </c>
      <c r="F84" s="106">
        <f t="shared" si="22"/>
        <v>256</v>
      </c>
      <c r="G84" s="106">
        <f t="shared" si="22"/>
        <v>256</v>
      </c>
      <c r="H84" s="106">
        <f t="shared" si="22"/>
        <v>256</v>
      </c>
      <c r="I84" s="106">
        <f t="shared" si="22"/>
        <v>256</v>
      </c>
      <c r="J84" s="106">
        <f t="shared" si="22"/>
        <v>1000000</v>
      </c>
      <c r="K84" s="106">
        <f t="shared" si="22"/>
        <v>1000000</v>
      </c>
      <c r="L84" s="106">
        <f t="shared" si="22"/>
        <v>1000000</v>
      </c>
      <c r="M84" s="106">
        <f t="shared" si="22"/>
        <v>1000000</v>
      </c>
      <c r="N84" s="106">
        <f t="shared" si="22"/>
        <v>256</v>
      </c>
    </row>
    <row r="85" spans="1:14" x14ac:dyDescent="0.25">
      <c r="A85" s="879"/>
      <c r="B85" s="68">
        <v>288</v>
      </c>
      <c r="C85" s="345"/>
      <c r="D85" s="106">
        <f t="shared" si="22"/>
        <v>288</v>
      </c>
      <c r="E85" s="106">
        <f t="shared" si="22"/>
        <v>288</v>
      </c>
      <c r="F85" s="106">
        <f t="shared" si="22"/>
        <v>288</v>
      </c>
      <c r="G85" s="106">
        <f t="shared" si="22"/>
        <v>288</v>
      </c>
      <c r="H85" s="106">
        <f t="shared" si="22"/>
        <v>288</v>
      </c>
      <c r="I85" s="106">
        <f t="shared" si="22"/>
        <v>288</v>
      </c>
      <c r="J85" s="106">
        <f t="shared" si="22"/>
        <v>1000000</v>
      </c>
      <c r="K85" s="106">
        <f t="shared" si="22"/>
        <v>1000000</v>
      </c>
      <c r="L85" s="106">
        <f t="shared" si="22"/>
        <v>1000000</v>
      </c>
      <c r="M85" s="106">
        <f t="shared" si="22"/>
        <v>1000000</v>
      </c>
      <c r="N85" s="106">
        <f t="shared" si="22"/>
        <v>288</v>
      </c>
    </row>
    <row r="86" spans="1:14" x14ac:dyDescent="0.25">
      <c r="A86" s="879"/>
      <c r="B86" s="68">
        <v>320</v>
      </c>
      <c r="C86" s="345"/>
      <c r="D86" s="106">
        <f t="shared" si="22"/>
        <v>320</v>
      </c>
      <c r="E86" s="106">
        <f t="shared" si="22"/>
        <v>320</v>
      </c>
      <c r="F86" s="106">
        <f t="shared" si="22"/>
        <v>320</v>
      </c>
      <c r="G86" s="106">
        <f t="shared" si="22"/>
        <v>320</v>
      </c>
      <c r="H86" s="106">
        <f t="shared" si="22"/>
        <v>320</v>
      </c>
      <c r="I86" s="106">
        <f t="shared" si="22"/>
        <v>320</v>
      </c>
      <c r="J86" s="106">
        <f t="shared" si="22"/>
        <v>1000000</v>
      </c>
      <c r="K86" s="106">
        <f t="shared" si="22"/>
        <v>1000000</v>
      </c>
      <c r="L86" s="106">
        <f t="shared" si="22"/>
        <v>1000000</v>
      </c>
      <c r="M86" s="106">
        <f t="shared" si="22"/>
        <v>1000000</v>
      </c>
      <c r="N86" s="106">
        <f t="shared" si="22"/>
        <v>320</v>
      </c>
    </row>
    <row r="87" spans="1:14" x14ac:dyDescent="0.25">
      <c r="A87" s="879"/>
      <c r="B87" s="68">
        <v>352</v>
      </c>
      <c r="C87" s="345"/>
      <c r="D87" s="106">
        <f t="shared" si="22"/>
        <v>352</v>
      </c>
      <c r="E87" s="106">
        <f t="shared" si="22"/>
        <v>352</v>
      </c>
      <c r="F87" s="106">
        <f t="shared" si="22"/>
        <v>352</v>
      </c>
      <c r="G87" s="106">
        <f t="shared" si="22"/>
        <v>352</v>
      </c>
      <c r="H87" s="106">
        <f t="shared" si="22"/>
        <v>352</v>
      </c>
      <c r="I87" s="106">
        <f t="shared" si="22"/>
        <v>352</v>
      </c>
      <c r="J87" s="106">
        <f t="shared" si="22"/>
        <v>352</v>
      </c>
      <c r="K87" s="106">
        <f t="shared" si="22"/>
        <v>1000000</v>
      </c>
      <c r="L87" s="106">
        <f t="shared" si="22"/>
        <v>1000000</v>
      </c>
      <c r="M87" s="106">
        <f t="shared" si="22"/>
        <v>1000000</v>
      </c>
      <c r="N87" s="106">
        <f t="shared" si="22"/>
        <v>352</v>
      </c>
    </row>
    <row r="88" spans="1:14" x14ac:dyDescent="0.25">
      <c r="A88" s="879"/>
      <c r="B88" s="68">
        <v>384</v>
      </c>
      <c r="C88" s="345"/>
      <c r="D88" s="106">
        <f t="shared" si="22"/>
        <v>384</v>
      </c>
      <c r="E88" s="106">
        <f t="shared" si="22"/>
        <v>384</v>
      </c>
      <c r="F88" s="106">
        <f t="shared" si="22"/>
        <v>384</v>
      </c>
      <c r="G88" s="106">
        <f t="shared" si="22"/>
        <v>384</v>
      </c>
      <c r="H88" s="106">
        <f t="shared" si="22"/>
        <v>384</v>
      </c>
      <c r="I88" s="106">
        <f t="shared" si="22"/>
        <v>384</v>
      </c>
      <c r="J88" s="106">
        <f t="shared" si="22"/>
        <v>384</v>
      </c>
      <c r="K88" s="106">
        <f t="shared" si="22"/>
        <v>384</v>
      </c>
      <c r="L88" s="106">
        <f t="shared" si="22"/>
        <v>384</v>
      </c>
      <c r="M88" s="106">
        <f t="shared" si="22"/>
        <v>384</v>
      </c>
      <c r="N88" s="106">
        <f t="shared" si="22"/>
        <v>384</v>
      </c>
    </row>
    <row r="91" spans="1:14" x14ac:dyDescent="0.25">
      <c r="B91" s="143" t="s">
        <v>374</v>
      </c>
      <c r="D91" s="875" t="s">
        <v>373</v>
      </c>
      <c r="E91" s="875"/>
      <c r="F91" s="875"/>
      <c r="G91" s="875"/>
      <c r="H91" s="875"/>
      <c r="I91" s="875"/>
      <c r="J91" s="875"/>
      <c r="K91" s="875"/>
      <c r="L91" s="875"/>
      <c r="M91" s="875"/>
      <c r="N91" s="875"/>
    </row>
    <row r="92" spans="1:14" x14ac:dyDescent="0.25">
      <c r="A92" s="879" t="s">
        <v>363</v>
      </c>
      <c r="B92" s="68">
        <v>2</v>
      </c>
      <c r="C92" s="345"/>
      <c r="D92" s="106" t="e">
        <f>IF($B92*#REF!&gt;=D$7/#REF!+D$6,$B92,10^6)</f>
        <v>#REF!</v>
      </c>
      <c r="E92" s="106" t="e">
        <f>IF($B92*#REF!&gt;=E$7/#REF!+E$6,$B92,10^6)</f>
        <v>#REF!</v>
      </c>
      <c r="F92" s="106" t="e">
        <f>IF($B92*#REF!&gt;=F$7/#REF!+F$6,$B92,10^6)</f>
        <v>#REF!</v>
      </c>
      <c r="G92" s="106" t="e">
        <f>IF($B92*#REF!&gt;=G$7/#REF!+G$6,$B92,10^6)</f>
        <v>#REF!</v>
      </c>
      <c r="H92" s="106" t="e">
        <f>IF($B92*#REF!&gt;=H$7/#REF!+H$6,$B92,10^6)</f>
        <v>#REF!</v>
      </c>
      <c r="I92" s="106" t="e">
        <f>IF($B92*#REF!&gt;=I$7/#REF!+I$6,$B92,10^6)</f>
        <v>#REF!</v>
      </c>
      <c r="J92" s="106" t="e">
        <f>IF($B92*#REF!&gt;=J$7/#REF!+J$6,$B92,10^6)</f>
        <v>#REF!</v>
      </c>
      <c r="K92" s="106" t="e">
        <f>IF($B92*#REF!&gt;=K$7/#REF!+K$6,$B92,10^6)</f>
        <v>#REF!</v>
      </c>
      <c r="L92" s="106" t="e">
        <f>IF($B92*#REF!&gt;=L$7/#REF!+L$6,$B92,10^6)</f>
        <v>#REF!</v>
      </c>
      <c r="M92" s="106" t="e">
        <f>IF($B92*#REF!&gt;=M$7/#REF!+M$6,$B92,10^6)</f>
        <v>#REF!</v>
      </c>
      <c r="N92" s="106" t="e">
        <f>IF($B92*#REF!&gt;=N$7/#REF!+N$6,$B92,10^6)</f>
        <v>#REF!</v>
      </c>
    </row>
    <row r="93" spans="1:14" x14ac:dyDescent="0.25">
      <c r="A93" s="879"/>
      <c r="B93" s="68">
        <v>3</v>
      </c>
      <c r="C93" s="345"/>
      <c r="D93" s="106" t="e">
        <f>IF($B93*#REF!&gt;=D$7/#REF!+D$6,$B93,10^6)</f>
        <v>#REF!</v>
      </c>
      <c r="E93" s="106" t="e">
        <f>IF($B93*#REF!&gt;=E$7/#REF!+E$6,$B93,10^6)</f>
        <v>#REF!</v>
      </c>
      <c r="F93" s="106" t="e">
        <f>IF($B93*#REF!&gt;=F$7/#REF!+F$6,$B93,10^6)</f>
        <v>#REF!</v>
      </c>
      <c r="G93" s="106" t="e">
        <f>IF($B93*#REF!&gt;=G$7/#REF!+G$6,$B93,10^6)</f>
        <v>#REF!</v>
      </c>
      <c r="H93" s="106" t="e">
        <f>IF($B93*#REF!&gt;=H$7/#REF!+H$6,$B93,10^6)</f>
        <v>#REF!</v>
      </c>
      <c r="I93" s="106" t="e">
        <f>IF($B93*#REF!&gt;=I$7/#REF!+I$6,$B93,10^6)</f>
        <v>#REF!</v>
      </c>
      <c r="J93" s="106" t="e">
        <f>IF($B93*#REF!&gt;=J$7/#REF!+J$6,$B93,10^6)</f>
        <v>#REF!</v>
      </c>
      <c r="K93" s="106" t="e">
        <f>IF($B93*#REF!&gt;=K$7/#REF!+K$6,$B93,10^6)</f>
        <v>#REF!</v>
      </c>
      <c r="L93" s="106" t="e">
        <f>IF($B93*#REF!&gt;=L$7/#REF!+L$6,$B93,10^6)</f>
        <v>#REF!</v>
      </c>
      <c r="M93" s="106" t="e">
        <f>IF($B93*#REF!&gt;=M$7/#REF!+M$6,$B93,10^6)</f>
        <v>#REF!</v>
      </c>
      <c r="N93" s="106" t="e">
        <f>IF($B93*#REF!&gt;=N$7/#REF!+N$6,$B93,10^6)</f>
        <v>#REF!</v>
      </c>
    </row>
    <row r="94" spans="1:14" x14ac:dyDescent="0.25">
      <c r="A94" s="879"/>
      <c r="B94" s="68">
        <v>4</v>
      </c>
      <c r="C94" s="345"/>
      <c r="D94" s="106" t="e">
        <f>IF($B94*#REF!&gt;=D$7/#REF!+D$6,$B94,10^6)</f>
        <v>#REF!</v>
      </c>
      <c r="E94" s="106" t="e">
        <f>IF($B94*#REF!&gt;=E$7/#REF!+E$6,$B94,10^6)</f>
        <v>#REF!</v>
      </c>
      <c r="F94" s="106" t="e">
        <f>IF($B94*#REF!&gt;=F$7/#REF!+F$6,$B94,10^6)</f>
        <v>#REF!</v>
      </c>
      <c r="G94" s="106" t="e">
        <f>IF($B94*#REF!&gt;=G$7/#REF!+G$6,$B94,10^6)</f>
        <v>#REF!</v>
      </c>
      <c r="H94" s="106" t="e">
        <f>IF($B94*#REF!&gt;=H$7/#REF!+H$6,$B94,10^6)</f>
        <v>#REF!</v>
      </c>
      <c r="I94" s="106" t="e">
        <f>IF($B94*#REF!&gt;=I$7/#REF!+I$6,$B94,10^6)</f>
        <v>#REF!</v>
      </c>
      <c r="J94" s="106" t="e">
        <f>IF($B94*#REF!&gt;=J$7/#REF!+J$6,$B94,10^6)</f>
        <v>#REF!</v>
      </c>
      <c r="K94" s="106" t="e">
        <f>IF($B94*#REF!&gt;=K$7/#REF!+K$6,$B94,10^6)</f>
        <v>#REF!</v>
      </c>
      <c r="L94" s="106" t="e">
        <f>IF($B94*#REF!&gt;=L$7/#REF!+L$6,$B94,10^6)</f>
        <v>#REF!</v>
      </c>
      <c r="M94" s="106" t="e">
        <f>IF($B94*#REF!&gt;=M$7/#REF!+M$6,$B94,10^6)</f>
        <v>#REF!</v>
      </c>
      <c r="N94" s="106" t="e">
        <f>IF($B94*#REF!&gt;=N$7/#REF!+N$6,$B94,10^6)</f>
        <v>#REF!</v>
      </c>
    </row>
    <row r="95" spans="1:14" x14ac:dyDescent="0.25">
      <c r="A95" s="879"/>
      <c r="B95" s="68">
        <v>5</v>
      </c>
      <c r="C95" s="345"/>
      <c r="D95" s="106" t="e">
        <f>IF($B95*#REF!&gt;=D$7/#REF!+D$6,$B95,10^6)</f>
        <v>#REF!</v>
      </c>
      <c r="E95" s="106" t="e">
        <f>IF($B95*#REF!&gt;=E$7/#REF!+E$6,$B95,10^6)</f>
        <v>#REF!</v>
      </c>
      <c r="F95" s="106" t="e">
        <f>IF($B95*#REF!&gt;=F$7/#REF!+F$6,$B95,10^6)</f>
        <v>#REF!</v>
      </c>
      <c r="G95" s="106" t="e">
        <f>IF($B95*#REF!&gt;=G$7/#REF!+G$6,$B95,10^6)</f>
        <v>#REF!</v>
      </c>
      <c r="H95" s="106" t="e">
        <f>IF($B95*#REF!&gt;=H$7/#REF!+H$6,$B95,10^6)</f>
        <v>#REF!</v>
      </c>
      <c r="I95" s="106" t="e">
        <f>IF($B95*#REF!&gt;=I$7/#REF!+I$6,$B95,10^6)</f>
        <v>#REF!</v>
      </c>
      <c r="J95" s="106" t="e">
        <f>IF($B95*#REF!&gt;=J$7/#REF!+J$6,$B95,10^6)</f>
        <v>#REF!</v>
      </c>
      <c r="K95" s="106" t="e">
        <f>IF($B95*#REF!&gt;=K$7/#REF!+K$6,$B95,10^6)</f>
        <v>#REF!</v>
      </c>
      <c r="L95" s="106" t="e">
        <f>IF($B95*#REF!&gt;=L$7/#REF!+L$6,$B95,10^6)</f>
        <v>#REF!</v>
      </c>
      <c r="M95" s="106" t="e">
        <f>IF($B95*#REF!&gt;=M$7/#REF!+M$6,$B95,10^6)</f>
        <v>#REF!</v>
      </c>
      <c r="N95" s="106" t="e">
        <f>IF($B95*#REF!&gt;=N$7/#REF!+N$6,$B95,10^6)</f>
        <v>#REF!</v>
      </c>
    </row>
    <row r="96" spans="1:14" x14ac:dyDescent="0.25">
      <c r="A96" s="879"/>
      <c r="B96" s="68">
        <v>6</v>
      </c>
      <c r="C96" s="345"/>
      <c r="D96" s="106" t="e">
        <f>IF($B96*#REF!&gt;=D$7/#REF!+D$6,$B96,10^6)</f>
        <v>#REF!</v>
      </c>
      <c r="E96" s="106" t="e">
        <f>IF($B96*#REF!&gt;=E$7/#REF!+E$6,$B96,10^6)</f>
        <v>#REF!</v>
      </c>
      <c r="F96" s="106" t="e">
        <f>IF($B96*#REF!&gt;=F$7/#REF!+F$6,$B96,10^6)</f>
        <v>#REF!</v>
      </c>
      <c r="G96" s="106" t="e">
        <f>IF($B96*#REF!&gt;=G$7/#REF!+G$6,$B96,10^6)</f>
        <v>#REF!</v>
      </c>
      <c r="H96" s="106" t="e">
        <f>IF($B96*#REF!&gt;=H$7/#REF!+H$6,$B96,10^6)</f>
        <v>#REF!</v>
      </c>
      <c r="I96" s="106" t="e">
        <f>IF($B96*#REF!&gt;=I$7/#REF!+I$6,$B96,10^6)</f>
        <v>#REF!</v>
      </c>
      <c r="J96" s="106" t="e">
        <f>IF($B96*#REF!&gt;=J$7/#REF!+J$6,$B96,10^6)</f>
        <v>#REF!</v>
      </c>
      <c r="K96" s="106" t="e">
        <f>IF($B96*#REF!&gt;=K$7/#REF!+K$6,$B96,10^6)</f>
        <v>#REF!</v>
      </c>
      <c r="L96" s="106" t="e">
        <f>IF($B96*#REF!&gt;=L$7/#REF!+L$6,$B96,10^6)</f>
        <v>#REF!</v>
      </c>
      <c r="M96" s="106" t="e">
        <f>IF($B96*#REF!&gt;=M$7/#REF!+M$6,$B96,10^6)</f>
        <v>#REF!</v>
      </c>
      <c r="N96" s="106" t="e">
        <f>IF($B96*#REF!&gt;=N$7/#REF!+N$6,$B96,10^6)</f>
        <v>#REF!</v>
      </c>
    </row>
    <row r="97" spans="1:14" x14ac:dyDescent="0.25">
      <c r="A97" s="879"/>
      <c r="B97" s="68">
        <v>7</v>
      </c>
      <c r="C97" s="345"/>
      <c r="D97" s="106" t="e">
        <f>IF($B97*#REF!&gt;=D$7/#REF!+D$6,$B97,10^6)</f>
        <v>#REF!</v>
      </c>
      <c r="E97" s="106" t="e">
        <f>IF($B97*#REF!&gt;=E$7/#REF!+E$6,$B97,10^6)</f>
        <v>#REF!</v>
      </c>
      <c r="F97" s="106" t="e">
        <f>IF($B97*#REF!&gt;=F$7/#REF!+F$6,$B97,10^6)</f>
        <v>#REF!</v>
      </c>
      <c r="G97" s="106" t="e">
        <f>IF($B97*#REF!&gt;=G$7/#REF!+G$6,$B97,10^6)</f>
        <v>#REF!</v>
      </c>
      <c r="H97" s="106" t="e">
        <f>IF($B97*#REF!&gt;=H$7/#REF!+H$6,$B97,10^6)</f>
        <v>#REF!</v>
      </c>
      <c r="I97" s="106" t="e">
        <f>IF($B97*#REF!&gt;=I$7/#REF!+I$6,$B97,10^6)</f>
        <v>#REF!</v>
      </c>
      <c r="J97" s="106" t="e">
        <f>IF($B97*#REF!&gt;=J$7/#REF!+J$6,$B97,10^6)</f>
        <v>#REF!</v>
      </c>
      <c r="K97" s="106" t="e">
        <f>IF($B97*#REF!&gt;=K$7/#REF!+K$6,$B97,10^6)</f>
        <v>#REF!</v>
      </c>
      <c r="L97" s="106" t="e">
        <f>IF($B97*#REF!&gt;=L$7/#REF!+L$6,$B97,10^6)</f>
        <v>#REF!</v>
      </c>
      <c r="M97" s="106" t="e">
        <f>IF($B97*#REF!&gt;=M$7/#REF!+M$6,$B97,10^6)</f>
        <v>#REF!</v>
      </c>
      <c r="N97" s="106" t="e">
        <f>IF($B97*#REF!&gt;=N$7/#REF!+N$6,$B97,10^6)</f>
        <v>#REF!</v>
      </c>
    </row>
    <row r="98" spans="1:14" x14ac:dyDescent="0.25">
      <c r="A98" s="879"/>
      <c r="B98" s="68">
        <v>8</v>
      </c>
      <c r="C98" s="345"/>
      <c r="D98" s="106" t="e">
        <f>IF($B98*#REF!&gt;=D$7/#REF!+D$6,$B98,10^6)</f>
        <v>#REF!</v>
      </c>
      <c r="E98" s="106" t="e">
        <f>IF($B98*#REF!&gt;=E$7/#REF!+E$6,$B98,10^6)</f>
        <v>#REF!</v>
      </c>
      <c r="F98" s="106" t="e">
        <f>IF($B98*#REF!&gt;=F$7/#REF!+F$6,$B98,10^6)</f>
        <v>#REF!</v>
      </c>
      <c r="G98" s="106" t="e">
        <f>IF($B98*#REF!&gt;=G$7/#REF!+G$6,$B98,10^6)</f>
        <v>#REF!</v>
      </c>
      <c r="H98" s="106" t="e">
        <f>IF($B98*#REF!&gt;=H$7/#REF!+H$6,$B98,10^6)</f>
        <v>#REF!</v>
      </c>
      <c r="I98" s="106" t="e">
        <f>IF($B98*#REF!&gt;=I$7/#REF!+I$6,$B98,10^6)</f>
        <v>#REF!</v>
      </c>
      <c r="J98" s="106" t="e">
        <f>IF($B98*#REF!&gt;=J$7/#REF!+J$6,$B98,10^6)</f>
        <v>#REF!</v>
      </c>
      <c r="K98" s="106" t="e">
        <f>IF($B98*#REF!&gt;=K$7/#REF!+K$6,$B98,10^6)</f>
        <v>#REF!</v>
      </c>
      <c r="L98" s="106" t="e">
        <f>IF($B98*#REF!&gt;=L$7/#REF!+L$6,$B98,10^6)</f>
        <v>#REF!</v>
      </c>
      <c r="M98" s="106" t="e">
        <f>IF($B98*#REF!&gt;=M$7/#REF!+M$6,$B98,10^6)</f>
        <v>#REF!</v>
      </c>
      <c r="N98" s="106" t="e">
        <f>IF($B98*#REF!&gt;=N$7/#REF!+N$6,$B98,10^6)</f>
        <v>#REF!</v>
      </c>
    </row>
    <row r="99" spans="1:14" x14ac:dyDescent="0.25">
      <c r="A99" s="879"/>
      <c r="B99" s="68">
        <v>9</v>
      </c>
      <c r="C99" s="345"/>
      <c r="D99" s="106" t="e">
        <f>IF($B99*#REF!&gt;=D$7/#REF!+D$6,$B99,10^6)</f>
        <v>#REF!</v>
      </c>
      <c r="E99" s="106" t="e">
        <f>IF($B99*#REF!&gt;=E$7/#REF!+E$6,$B99,10^6)</f>
        <v>#REF!</v>
      </c>
      <c r="F99" s="106" t="e">
        <f>IF($B99*#REF!&gt;=F$7/#REF!+F$6,$B99,10^6)</f>
        <v>#REF!</v>
      </c>
      <c r="G99" s="106" t="e">
        <f>IF($B99*#REF!&gt;=G$7/#REF!+G$6,$B99,10^6)</f>
        <v>#REF!</v>
      </c>
      <c r="H99" s="106" t="e">
        <f>IF($B99*#REF!&gt;=H$7/#REF!+H$6,$B99,10^6)</f>
        <v>#REF!</v>
      </c>
      <c r="I99" s="106" t="e">
        <f>IF($B99*#REF!&gt;=I$7/#REF!+I$6,$B99,10^6)</f>
        <v>#REF!</v>
      </c>
      <c r="J99" s="106" t="e">
        <f>IF($B99*#REF!&gt;=J$7/#REF!+J$6,$B99,10^6)</f>
        <v>#REF!</v>
      </c>
      <c r="K99" s="106" t="e">
        <f>IF($B99*#REF!&gt;=K$7/#REF!+K$6,$B99,10^6)</f>
        <v>#REF!</v>
      </c>
      <c r="L99" s="106" t="e">
        <f>IF($B99*#REF!&gt;=L$7/#REF!+L$6,$B99,10^6)</f>
        <v>#REF!</v>
      </c>
      <c r="M99" s="106" t="e">
        <f>IF($B99*#REF!&gt;=M$7/#REF!+M$6,$B99,10^6)</f>
        <v>#REF!</v>
      </c>
      <c r="N99" s="106" t="e">
        <f>IF($B99*#REF!&gt;=N$7/#REF!+N$6,$B99,10^6)</f>
        <v>#REF!</v>
      </c>
    </row>
    <row r="100" spans="1:14" x14ac:dyDescent="0.25">
      <c r="A100" s="879"/>
      <c r="B100" s="68">
        <v>10</v>
      </c>
      <c r="C100" s="345"/>
      <c r="D100" s="106" t="e">
        <f>IF($B100*#REF!&gt;=D$7/#REF!+D$6,$B100,10^6)</f>
        <v>#REF!</v>
      </c>
      <c r="E100" s="106" t="e">
        <f>IF($B100*#REF!&gt;=E$7/#REF!+E$6,$B100,10^6)</f>
        <v>#REF!</v>
      </c>
      <c r="F100" s="106" t="e">
        <f>IF($B100*#REF!&gt;=F$7/#REF!+F$6,$B100,10^6)</f>
        <v>#REF!</v>
      </c>
      <c r="G100" s="106" t="e">
        <f>IF($B100*#REF!&gt;=G$7/#REF!+G$6,$B100,10^6)</f>
        <v>#REF!</v>
      </c>
      <c r="H100" s="106" t="e">
        <f>IF($B100*#REF!&gt;=H$7/#REF!+H$6,$B100,10^6)</f>
        <v>#REF!</v>
      </c>
      <c r="I100" s="106" t="e">
        <f>IF($B100*#REF!&gt;=I$7/#REF!+I$6,$B100,10^6)</f>
        <v>#REF!</v>
      </c>
      <c r="J100" s="106" t="e">
        <f>IF($B100*#REF!&gt;=J$7/#REF!+J$6,$B100,10^6)</f>
        <v>#REF!</v>
      </c>
      <c r="K100" s="106" t="e">
        <f>IF($B100*#REF!&gt;=K$7/#REF!+K$6,$B100,10^6)</f>
        <v>#REF!</v>
      </c>
      <c r="L100" s="106" t="e">
        <f>IF($B100*#REF!&gt;=L$7/#REF!+L$6,$B100,10^6)</f>
        <v>#REF!</v>
      </c>
      <c r="M100" s="106" t="e">
        <f>IF($B100*#REF!&gt;=M$7/#REF!+M$6,$B100,10^6)</f>
        <v>#REF!</v>
      </c>
      <c r="N100" s="106" t="e">
        <f>IF($B100*#REF!&gt;=N$7/#REF!+N$6,$B100,10^6)</f>
        <v>#REF!</v>
      </c>
    </row>
    <row r="101" spans="1:14" x14ac:dyDescent="0.25">
      <c r="A101" s="879"/>
      <c r="B101" s="68">
        <v>11</v>
      </c>
      <c r="C101" s="345"/>
      <c r="D101" s="106" t="e">
        <f>IF($B101*#REF!&gt;=D$7/#REF!+D$6,$B101,10^6)</f>
        <v>#REF!</v>
      </c>
      <c r="E101" s="106" t="e">
        <f>IF($B101*#REF!&gt;=E$7/#REF!+E$6,$B101,10^6)</f>
        <v>#REF!</v>
      </c>
      <c r="F101" s="106" t="e">
        <f>IF($B101*#REF!&gt;=F$7/#REF!+F$6,$B101,10^6)</f>
        <v>#REF!</v>
      </c>
      <c r="G101" s="106" t="e">
        <f>IF($B101*#REF!&gt;=G$7/#REF!+G$6,$B101,10^6)</f>
        <v>#REF!</v>
      </c>
      <c r="H101" s="106" t="e">
        <f>IF($B101*#REF!&gt;=H$7/#REF!+H$6,$B101,10^6)</f>
        <v>#REF!</v>
      </c>
      <c r="I101" s="106" t="e">
        <f>IF($B101*#REF!&gt;=I$7/#REF!+I$6,$B101,10^6)</f>
        <v>#REF!</v>
      </c>
      <c r="J101" s="106" t="e">
        <f>IF($B101*#REF!&gt;=J$7/#REF!+J$6,$B101,10^6)</f>
        <v>#REF!</v>
      </c>
      <c r="K101" s="106" t="e">
        <f>IF($B101*#REF!&gt;=K$7/#REF!+K$6,$B101,10^6)</f>
        <v>#REF!</v>
      </c>
      <c r="L101" s="106" t="e">
        <f>IF($B101*#REF!&gt;=L$7/#REF!+L$6,$B101,10^6)</f>
        <v>#REF!</v>
      </c>
      <c r="M101" s="106" t="e">
        <f>IF($B101*#REF!&gt;=M$7/#REF!+M$6,$B101,10^6)</f>
        <v>#REF!</v>
      </c>
      <c r="N101" s="106" t="e">
        <f>IF($B101*#REF!&gt;=N$7/#REF!+N$6,$B101,10^6)</f>
        <v>#REF!</v>
      </c>
    </row>
    <row r="102" spans="1:14" x14ac:dyDescent="0.25">
      <c r="A102" s="879"/>
      <c r="B102" s="68">
        <v>12</v>
      </c>
      <c r="C102" s="345"/>
      <c r="D102" s="106" t="e">
        <f>IF($B102*#REF!&gt;=D$7/#REF!+D$6,$B102,10^6)</f>
        <v>#REF!</v>
      </c>
      <c r="E102" s="106" t="e">
        <f>IF($B102*#REF!&gt;=E$7/#REF!+E$6,$B102,10^6)</f>
        <v>#REF!</v>
      </c>
      <c r="F102" s="106" t="e">
        <f>IF($B102*#REF!&gt;=F$7/#REF!+F$6,$B102,10^6)</f>
        <v>#REF!</v>
      </c>
      <c r="G102" s="106" t="e">
        <f>IF($B102*#REF!&gt;=G$7/#REF!+G$6,$B102,10^6)</f>
        <v>#REF!</v>
      </c>
      <c r="H102" s="106" t="e">
        <f>IF($B102*#REF!&gt;=H$7/#REF!+H$6,$B102,10^6)</f>
        <v>#REF!</v>
      </c>
      <c r="I102" s="106" t="e">
        <f>IF($B102*#REF!&gt;=I$7/#REF!+I$6,$B102,10^6)</f>
        <v>#REF!</v>
      </c>
      <c r="J102" s="106" t="e">
        <f>IF($B102*#REF!&gt;=J$7/#REF!+J$6,$B102,10^6)</f>
        <v>#REF!</v>
      </c>
      <c r="K102" s="106" t="e">
        <f>IF($B102*#REF!&gt;=K$7/#REF!+K$6,$B102,10^6)</f>
        <v>#REF!</v>
      </c>
      <c r="L102" s="106" t="e">
        <f>IF($B102*#REF!&gt;=L$7/#REF!+L$6,$B102,10^6)</f>
        <v>#REF!</v>
      </c>
      <c r="M102" s="106" t="e">
        <f>IF($B102*#REF!&gt;=M$7/#REF!+M$6,$B102,10^6)</f>
        <v>#REF!</v>
      </c>
      <c r="N102" s="106" t="e">
        <f>IF($B102*#REF!&gt;=N$7/#REF!+N$6,$B102,10^6)</f>
        <v>#REF!</v>
      </c>
    </row>
    <row r="103" spans="1:14" x14ac:dyDescent="0.25">
      <c r="A103" s="879"/>
      <c r="B103" s="68">
        <v>13</v>
      </c>
      <c r="C103" s="345"/>
      <c r="D103" s="106" t="e">
        <f>IF($B103*#REF!&gt;=D$7/#REF!+D$6,$B103,10^6)</f>
        <v>#REF!</v>
      </c>
      <c r="E103" s="106" t="e">
        <f>IF($B103*#REF!&gt;=E$7/#REF!+E$6,$B103,10^6)</f>
        <v>#REF!</v>
      </c>
      <c r="F103" s="106" t="e">
        <f>IF($B103*#REF!&gt;=F$7/#REF!+F$6,$B103,10^6)</f>
        <v>#REF!</v>
      </c>
      <c r="G103" s="106" t="e">
        <f>IF($B103*#REF!&gt;=G$7/#REF!+G$6,$B103,10^6)</f>
        <v>#REF!</v>
      </c>
      <c r="H103" s="106" t="e">
        <f>IF($B103*#REF!&gt;=H$7/#REF!+H$6,$B103,10^6)</f>
        <v>#REF!</v>
      </c>
      <c r="I103" s="106" t="e">
        <f>IF($B103*#REF!&gt;=I$7/#REF!+I$6,$B103,10^6)</f>
        <v>#REF!</v>
      </c>
      <c r="J103" s="106" t="e">
        <f>IF($B103*#REF!&gt;=J$7/#REF!+J$6,$B103,10^6)</f>
        <v>#REF!</v>
      </c>
      <c r="K103" s="106" t="e">
        <f>IF($B103*#REF!&gt;=K$7/#REF!+K$6,$B103,10^6)</f>
        <v>#REF!</v>
      </c>
      <c r="L103" s="106" t="e">
        <f>IF($B103*#REF!&gt;=L$7/#REF!+L$6,$B103,10^6)</f>
        <v>#REF!</v>
      </c>
      <c r="M103" s="106" t="e">
        <f>IF($B103*#REF!&gt;=M$7/#REF!+M$6,$B103,10^6)</f>
        <v>#REF!</v>
      </c>
      <c r="N103" s="106" t="e">
        <f>IF($B103*#REF!&gt;=N$7/#REF!+N$6,$B103,10^6)</f>
        <v>#REF!</v>
      </c>
    </row>
    <row r="104" spans="1:14" x14ac:dyDescent="0.25">
      <c r="A104" s="879"/>
      <c r="B104" s="68">
        <v>14</v>
      </c>
      <c r="C104" s="345"/>
      <c r="D104" s="106" t="e">
        <f>IF($B104*#REF!&gt;=D$7/#REF!+D$6,$B104,10^6)</f>
        <v>#REF!</v>
      </c>
      <c r="E104" s="106" t="e">
        <f>IF($B104*#REF!&gt;=E$7/#REF!+E$6,$B104,10^6)</f>
        <v>#REF!</v>
      </c>
      <c r="F104" s="106" t="e">
        <f>IF($B104*#REF!&gt;=F$7/#REF!+F$6,$B104,10^6)</f>
        <v>#REF!</v>
      </c>
      <c r="G104" s="106" t="e">
        <f>IF($B104*#REF!&gt;=G$7/#REF!+G$6,$B104,10^6)</f>
        <v>#REF!</v>
      </c>
      <c r="H104" s="106" t="e">
        <f>IF($B104*#REF!&gt;=H$7/#REF!+H$6,$B104,10^6)</f>
        <v>#REF!</v>
      </c>
      <c r="I104" s="106" t="e">
        <f>IF($B104*#REF!&gt;=I$7/#REF!+I$6,$B104,10^6)</f>
        <v>#REF!</v>
      </c>
      <c r="J104" s="106" t="e">
        <f>IF($B104*#REF!&gt;=J$7/#REF!+J$6,$B104,10^6)</f>
        <v>#REF!</v>
      </c>
      <c r="K104" s="106" t="e">
        <f>IF($B104*#REF!&gt;=K$7/#REF!+K$6,$B104,10^6)</f>
        <v>#REF!</v>
      </c>
      <c r="L104" s="106" t="e">
        <f>IF($B104*#REF!&gt;=L$7/#REF!+L$6,$B104,10^6)</f>
        <v>#REF!</v>
      </c>
      <c r="M104" s="106" t="e">
        <f>IF($B104*#REF!&gt;=M$7/#REF!+M$6,$B104,10^6)</f>
        <v>#REF!</v>
      </c>
      <c r="N104" s="106" t="e">
        <f>IF($B104*#REF!&gt;=N$7/#REF!+N$6,$B104,10^6)</f>
        <v>#REF!</v>
      </c>
    </row>
    <row r="105" spans="1:14" x14ac:dyDescent="0.25">
      <c r="A105" s="879"/>
      <c r="B105" s="68">
        <v>15</v>
      </c>
      <c r="C105" s="345"/>
      <c r="D105" s="106" t="e">
        <f>IF($B105*#REF!&gt;=D$7/#REF!+D$6,$B105,10^6)</f>
        <v>#REF!</v>
      </c>
      <c r="E105" s="106" t="e">
        <f>IF($B105*#REF!&gt;=E$7/#REF!+E$6,$B105,10^6)</f>
        <v>#REF!</v>
      </c>
      <c r="F105" s="106" t="e">
        <f>IF($B105*#REF!&gt;=F$7/#REF!+F$6,$B105,10^6)</f>
        <v>#REF!</v>
      </c>
      <c r="G105" s="106" t="e">
        <f>IF($B105*#REF!&gt;=G$7/#REF!+G$6,$B105,10^6)</f>
        <v>#REF!</v>
      </c>
      <c r="H105" s="106" t="e">
        <f>IF($B105*#REF!&gt;=H$7/#REF!+H$6,$B105,10^6)</f>
        <v>#REF!</v>
      </c>
      <c r="I105" s="106" t="e">
        <f>IF($B105*#REF!&gt;=I$7/#REF!+I$6,$B105,10^6)</f>
        <v>#REF!</v>
      </c>
      <c r="J105" s="106" t="e">
        <f>IF($B105*#REF!&gt;=J$7/#REF!+J$6,$B105,10^6)</f>
        <v>#REF!</v>
      </c>
      <c r="K105" s="106" t="e">
        <f>IF($B105*#REF!&gt;=K$7/#REF!+K$6,$B105,10^6)</f>
        <v>#REF!</v>
      </c>
      <c r="L105" s="106" t="e">
        <f>IF($B105*#REF!&gt;=L$7/#REF!+L$6,$B105,10^6)</f>
        <v>#REF!</v>
      </c>
      <c r="M105" s="106" t="e">
        <f>IF($B105*#REF!&gt;=M$7/#REF!+M$6,$B105,10^6)</f>
        <v>#REF!</v>
      </c>
      <c r="N105" s="106" t="e">
        <f>IF($B105*#REF!&gt;=N$7/#REF!+N$6,$B105,10^6)</f>
        <v>#REF!</v>
      </c>
    </row>
    <row r="106" spans="1:14" x14ac:dyDescent="0.25">
      <c r="A106" s="879"/>
      <c r="B106" s="68">
        <v>16</v>
      </c>
      <c r="C106" s="345"/>
      <c r="D106" s="106" t="e">
        <f>IF($B106*#REF!&gt;=D$7/#REF!+D$6,$B106,10^6)</f>
        <v>#REF!</v>
      </c>
      <c r="E106" s="106" t="e">
        <f>IF($B106*#REF!&gt;=E$7/#REF!+E$6,$B106,10^6)</f>
        <v>#REF!</v>
      </c>
      <c r="F106" s="106" t="e">
        <f>IF($B106*#REF!&gt;=F$7/#REF!+F$6,$B106,10^6)</f>
        <v>#REF!</v>
      </c>
      <c r="G106" s="106" t="e">
        <f>IF($B106*#REF!&gt;=G$7/#REF!+G$6,$B106,10^6)</f>
        <v>#REF!</v>
      </c>
      <c r="H106" s="106" t="e">
        <f>IF($B106*#REF!&gt;=H$7/#REF!+H$6,$B106,10^6)</f>
        <v>#REF!</v>
      </c>
      <c r="I106" s="106" t="e">
        <f>IF($B106*#REF!&gt;=I$7/#REF!+I$6,$B106,10^6)</f>
        <v>#REF!</v>
      </c>
      <c r="J106" s="106" t="e">
        <f>IF($B106*#REF!&gt;=J$7/#REF!+J$6,$B106,10^6)</f>
        <v>#REF!</v>
      </c>
      <c r="K106" s="106" t="e">
        <f>IF($B106*#REF!&gt;=K$7/#REF!+K$6,$B106,10^6)</f>
        <v>#REF!</v>
      </c>
      <c r="L106" s="106" t="e">
        <f>IF($B106*#REF!&gt;=L$7/#REF!+L$6,$B106,10^6)</f>
        <v>#REF!</v>
      </c>
      <c r="M106" s="106" t="e">
        <f>IF($B106*#REF!&gt;=M$7/#REF!+M$6,$B106,10^6)</f>
        <v>#REF!</v>
      </c>
      <c r="N106" s="106" t="e">
        <f>IF($B106*#REF!&gt;=N$7/#REF!+N$6,$B106,10^6)</f>
        <v>#REF!</v>
      </c>
    </row>
    <row r="107" spans="1:14" x14ac:dyDescent="0.25">
      <c r="A107" s="879"/>
      <c r="B107" s="68">
        <v>18</v>
      </c>
      <c r="C107" s="345"/>
      <c r="D107" s="106" t="e">
        <f>IF($B107*#REF!&gt;=D$7/#REF!+D$6,$B107,10^6)</f>
        <v>#REF!</v>
      </c>
      <c r="E107" s="106" t="e">
        <f>IF($B107*#REF!&gt;=E$7/#REF!+E$6,$B107,10^6)</f>
        <v>#REF!</v>
      </c>
      <c r="F107" s="106" t="e">
        <f>IF($B107*#REF!&gt;=F$7/#REF!+F$6,$B107,10^6)</f>
        <v>#REF!</v>
      </c>
      <c r="G107" s="106" t="e">
        <f>IF($B107*#REF!&gt;=G$7/#REF!+G$6,$B107,10^6)</f>
        <v>#REF!</v>
      </c>
      <c r="H107" s="106" t="e">
        <f>IF($B107*#REF!&gt;=H$7/#REF!+H$6,$B107,10^6)</f>
        <v>#REF!</v>
      </c>
      <c r="I107" s="106" t="e">
        <f>IF($B107*#REF!&gt;=I$7/#REF!+I$6,$B107,10^6)</f>
        <v>#REF!</v>
      </c>
      <c r="J107" s="106" t="e">
        <f>IF($B107*#REF!&gt;=J$7/#REF!+J$6,$B107,10^6)</f>
        <v>#REF!</v>
      </c>
      <c r="K107" s="106" t="e">
        <f>IF($B107*#REF!&gt;=K$7/#REF!+K$6,$B107,10^6)</f>
        <v>#REF!</v>
      </c>
      <c r="L107" s="106" t="e">
        <f>IF($B107*#REF!&gt;=L$7/#REF!+L$6,$B107,10^6)</f>
        <v>#REF!</v>
      </c>
      <c r="M107" s="106" t="e">
        <f>IF($B107*#REF!&gt;=M$7/#REF!+M$6,$B107,10^6)</f>
        <v>#REF!</v>
      </c>
      <c r="N107" s="106" t="e">
        <f>IF($B107*#REF!&gt;=N$7/#REF!+N$6,$B107,10^6)</f>
        <v>#REF!</v>
      </c>
    </row>
    <row r="108" spans="1:14" x14ac:dyDescent="0.25">
      <c r="A108" s="879"/>
      <c r="B108" s="68">
        <v>20</v>
      </c>
      <c r="C108" s="345"/>
      <c r="D108" s="106" t="e">
        <f>IF($B108*#REF!&gt;=D$7/#REF!+D$6,$B108,10^6)</f>
        <v>#REF!</v>
      </c>
      <c r="E108" s="106" t="e">
        <f>IF($B108*#REF!&gt;=E$7/#REF!+E$6,$B108,10^6)</f>
        <v>#REF!</v>
      </c>
      <c r="F108" s="106" t="e">
        <f>IF($B108*#REF!&gt;=F$7/#REF!+F$6,$B108,10^6)</f>
        <v>#REF!</v>
      </c>
      <c r="G108" s="106" t="e">
        <f>IF($B108*#REF!&gt;=G$7/#REF!+G$6,$B108,10^6)</f>
        <v>#REF!</v>
      </c>
      <c r="H108" s="106" t="e">
        <f>IF($B108*#REF!&gt;=H$7/#REF!+H$6,$B108,10^6)</f>
        <v>#REF!</v>
      </c>
      <c r="I108" s="106" t="e">
        <f>IF($B108*#REF!&gt;=I$7/#REF!+I$6,$B108,10^6)</f>
        <v>#REF!</v>
      </c>
      <c r="J108" s="106" t="e">
        <f>IF($B108*#REF!&gt;=J$7/#REF!+J$6,$B108,10^6)</f>
        <v>#REF!</v>
      </c>
      <c r="K108" s="106" t="e">
        <f>IF($B108*#REF!&gt;=K$7/#REF!+K$6,$B108,10^6)</f>
        <v>#REF!</v>
      </c>
      <c r="L108" s="106" t="e">
        <f>IF($B108*#REF!&gt;=L$7/#REF!+L$6,$B108,10^6)</f>
        <v>#REF!</v>
      </c>
      <c r="M108" s="106" t="e">
        <f>IF($B108*#REF!&gt;=M$7/#REF!+M$6,$B108,10^6)</f>
        <v>#REF!</v>
      </c>
      <c r="N108" s="106" t="e">
        <f>IF($B108*#REF!&gt;=N$7/#REF!+N$6,$B108,10^6)</f>
        <v>#REF!</v>
      </c>
    </row>
    <row r="109" spans="1:14" x14ac:dyDescent="0.25">
      <c r="A109" s="879"/>
      <c r="B109" s="68">
        <v>22</v>
      </c>
      <c r="C109" s="345"/>
      <c r="D109" s="106" t="e">
        <f>IF($B109*#REF!&gt;=D$7/#REF!+D$6,$B109,10^6)</f>
        <v>#REF!</v>
      </c>
      <c r="E109" s="106" t="e">
        <f>IF($B109*#REF!&gt;=E$7/#REF!+E$6,$B109,10^6)</f>
        <v>#REF!</v>
      </c>
      <c r="F109" s="106" t="e">
        <f>IF($B109*#REF!&gt;=F$7/#REF!+F$6,$B109,10^6)</f>
        <v>#REF!</v>
      </c>
      <c r="G109" s="106" t="e">
        <f>IF($B109*#REF!&gt;=G$7/#REF!+G$6,$B109,10^6)</f>
        <v>#REF!</v>
      </c>
      <c r="H109" s="106" t="e">
        <f>IF($B109*#REF!&gt;=H$7/#REF!+H$6,$B109,10^6)</f>
        <v>#REF!</v>
      </c>
      <c r="I109" s="106" t="e">
        <f>IF($B109*#REF!&gt;=I$7/#REF!+I$6,$B109,10^6)</f>
        <v>#REF!</v>
      </c>
      <c r="J109" s="106" t="e">
        <f>IF($B109*#REF!&gt;=J$7/#REF!+J$6,$B109,10^6)</f>
        <v>#REF!</v>
      </c>
      <c r="K109" s="106" t="e">
        <f>IF($B109*#REF!&gt;=K$7/#REF!+K$6,$B109,10^6)</f>
        <v>#REF!</v>
      </c>
      <c r="L109" s="106" t="e">
        <f>IF($B109*#REF!&gt;=L$7/#REF!+L$6,$B109,10^6)</f>
        <v>#REF!</v>
      </c>
      <c r="M109" s="106" t="e">
        <f>IF($B109*#REF!&gt;=M$7/#REF!+M$6,$B109,10^6)</f>
        <v>#REF!</v>
      </c>
      <c r="N109" s="106" t="e">
        <f>IF($B109*#REF!&gt;=N$7/#REF!+N$6,$B109,10^6)</f>
        <v>#REF!</v>
      </c>
    </row>
    <row r="110" spans="1:14" x14ac:dyDescent="0.25">
      <c r="A110" s="879"/>
      <c r="B110" s="68">
        <v>24</v>
      </c>
      <c r="C110" s="345"/>
      <c r="D110" s="106" t="e">
        <f>IF($B110*#REF!&gt;=D$7/#REF!+D$6,$B110,10^6)</f>
        <v>#REF!</v>
      </c>
      <c r="E110" s="106" t="e">
        <f>IF($B110*#REF!&gt;=E$7/#REF!+E$6,$B110,10^6)</f>
        <v>#REF!</v>
      </c>
      <c r="F110" s="106" t="e">
        <f>IF($B110*#REF!&gt;=F$7/#REF!+F$6,$B110,10^6)</f>
        <v>#REF!</v>
      </c>
      <c r="G110" s="106" t="e">
        <f>IF($B110*#REF!&gt;=G$7/#REF!+G$6,$B110,10^6)</f>
        <v>#REF!</v>
      </c>
      <c r="H110" s="106" t="e">
        <f>IF($B110*#REF!&gt;=H$7/#REF!+H$6,$B110,10^6)</f>
        <v>#REF!</v>
      </c>
      <c r="I110" s="106" t="e">
        <f>IF($B110*#REF!&gt;=I$7/#REF!+I$6,$B110,10^6)</f>
        <v>#REF!</v>
      </c>
      <c r="J110" s="106" t="e">
        <f>IF($B110*#REF!&gt;=J$7/#REF!+J$6,$B110,10^6)</f>
        <v>#REF!</v>
      </c>
      <c r="K110" s="106" t="e">
        <f>IF($B110*#REF!&gt;=K$7/#REF!+K$6,$B110,10^6)</f>
        <v>#REF!</v>
      </c>
      <c r="L110" s="106" t="e">
        <f>IF($B110*#REF!&gt;=L$7/#REF!+L$6,$B110,10^6)</f>
        <v>#REF!</v>
      </c>
      <c r="M110" s="106" t="e">
        <f>IF($B110*#REF!&gt;=M$7/#REF!+M$6,$B110,10^6)</f>
        <v>#REF!</v>
      </c>
      <c r="N110" s="106" t="e">
        <f>IF($B110*#REF!&gt;=N$7/#REF!+N$6,$B110,10^6)</f>
        <v>#REF!</v>
      </c>
    </row>
    <row r="111" spans="1:14" x14ac:dyDescent="0.25">
      <c r="A111" s="879"/>
      <c r="B111" s="68">
        <v>26</v>
      </c>
      <c r="C111" s="345"/>
      <c r="D111" s="106" t="e">
        <f>IF($B111*#REF!&gt;=D$7/#REF!+D$6,$B111,10^6)</f>
        <v>#REF!</v>
      </c>
      <c r="E111" s="106" t="e">
        <f>IF($B111*#REF!&gt;=E$7/#REF!+E$6,$B111,10^6)</f>
        <v>#REF!</v>
      </c>
      <c r="F111" s="106" t="e">
        <f>IF($B111*#REF!&gt;=F$7/#REF!+F$6,$B111,10^6)</f>
        <v>#REF!</v>
      </c>
      <c r="G111" s="106" t="e">
        <f>IF($B111*#REF!&gt;=G$7/#REF!+G$6,$B111,10^6)</f>
        <v>#REF!</v>
      </c>
      <c r="H111" s="106" t="e">
        <f>IF($B111*#REF!&gt;=H$7/#REF!+H$6,$B111,10^6)</f>
        <v>#REF!</v>
      </c>
      <c r="I111" s="106" t="e">
        <f>IF($B111*#REF!&gt;=I$7/#REF!+I$6,$B111,10^6)</f>
        <v>#REF!</v>
      </c>
      <c r="J111" s="106" t="e">
        <f>IF($B111*#REF!&gt;=J$7/#REF!+J$6,$B111,10^6)</f>
        <v>#REF!</v>
      </c>
      <c r="K111" s="106" t="e">
        <f>IF($B111*#REF!&gt;=K$7/#REF!+K$6,$B111,10^6)</f>
        <v>#REF!</v>
      </c>
      <c r="L111" s="106" t="e">
        <f>IF($B111*#REF!&gt;=L$7/#REF!+L$6,$B111,10^6)</f>
        <v>#REF!</v>
      </c>
      <c r="M111" s="106" t="e">
        <f>IF($B111*#REF!&gt;=M$7/#REF!+M$6,$B111,10^6)</f>
        <v>#REF!</v>
      </c>
      <c r="N111" s="106" t="e">
        <f>IF($B111*#REF!&gt;=N$7/#REF!+N$6,$B111,10^6)</f>
        <v>#REF!</v>
      </c>
    </row>
    <row r="112" spans="1:14" x14ac:dyDescent="0.25">
      <c r="A112" s="879"/>
      <c r="B112" s="68">
        <v>28</v>
      </c>
      <c r="C112" s="345"/>
      <c r="D112" s="106" t="e">
        <f>IF($B112*#REF!&gt;=D$7/#REF!+D$6,$B112,10^6)</f>
        <v>#REF!</v>
      </c>
      <c r="E112" s="106" t="e">
        <f>IF($B112*#REF!&gt;=E$7/#REF!+E$6,$B112,10^6)</f>
        <v>#REF!</v>
      </c>
      <c r="F112" s="106" t="e">
        <f>IF($B112*#REF!&gt;=F$7/#REF!+F$6,$B112,10^6)</f>
        <v>#REF!</v>
      </c>
      <c r="G112" s="106" t="e">
        <f>IF($B112*#REF!&gt;=G$7/#REF!+G$6,$B112,10^6)</f>
        <v>#REF!</v>
      </c>
      <c r="H112" s="106" t="e">
        <f>IF($B112*#REF!&gt;=H$7/#REF!+H$6,$B112,10^6)</f>
        <v>#REF!</v>
      </c>
      <c r="I112" s="106" t="e">
        <f>IF($B112*#REF!&gt;=I$7/#REF!+I$6,$B112,10^6)</f>
        <v>#REF!</v>
      </c>
      <c r="J112" s="106" t="e">
        <f>IF($B112*#REF!&gt;=J$7/#REF!+J$6,$B112,10^6)</f>
        <v>#REF!</v>
      </c>
      <c r="K112" s="106" t="e">
        <f>IF($B112*#REF!&gt;=K$7/#REF!+K$6,$B112,10^6)</f>
        <v>#REF!</v>
      </c>
      <c r="L112" s="106" t="e">
        <f>IF($B112*#REF!&gt;=L$7/#REF!+L$6,$B112,10^6)</f>
        <v>#REF!</v>
      </c>
      <c r="M112" s="106" t="e">
        <f>IF($B112*#REF!&gt;=M$7/#REF!+M$6,$B112,10^6)</f>
        <v>#REF!</v>
      </c>
      <c r="N112" s="106" t="e">
        <f>IF($B112*#REF!&gt;=N$7/#REF!+N$6,$B112,10^6)</f>
        <v>#REF!</v>
      </c>
    </row>
    <row r="113" spans="1:14" x14ac:dyDescent="0.25">
      <c r="A113" s="879"/>
      <c r="B113" s="68">
        <v>30</v>
      </c>
      <c r="C113" s="345"/>
      <c r="D113" s="106" t="e">
        <f>IF($B113*#REF!&gt;=D$7/#REF!+D$6,$B113,10^6)</f>
        <v>#REF!</v>
      </c>
      <c r="E113" s="106" t="e">
        <f>IF($B113*#REF!&gt;=E$7/#REF!+E$6,$B113,10^6)</f>
        <v>#REF!</v>
      </c>
      <c r="F113" s="106" t="e">
        <f>IF($B113*#REF!&gt;=F$7/#REF!+F$6,$B113,10^6)</f>
        <v>#REF!</v>
      </c>
      <c r="G113" s="106" t="e">
        <f>IF($B113*#REF!&gt;=G$7/#REF!+G$6,$B113,10^6)</f>
        <v>#REF!</v>
      </c>
      <c r="H113" s="106" t="e">
        <f>IF($B113*#REF!&gt;=H$7/#REF!+H$6,$B113,10^6)</f>
        <v>#REF!</v>
      </c>
      <c r="I113" s="106" t="e">
        <f>IF($B113*#REF!&gt;=I$7/#REF!+I$6,$B113,10^6)</f>
        <v>#REF!</v>
      </c>
      <c r="J113" s="106" t="e">
        <f>IF($B113*#REF!&gt;=J$7/#REF!+J$6,$B113,10^6)</f>
        <v>#REF!</v>
      </c>
      <c r="K113" s="106" t="e">
        <f>IF($B113*#REF!&gt;=K$7/#REF!+K$6,$B113,10^6)</f>
        <v>#REF!</v>
      </c>
      <c r="L113" s="106" t="e">
        <f>IF($B113*#REF!&gt;=L$7/#REF!+L$6,$B113,10^6)</f>
        <v>#REF!</v>
      </c>
      <c r="M113" s="106" t="e">
        <f>IF($B113*#REF!&gt;=M$7/#REF!+M$6,$B113,10^6)</f>
        <v>#REF!</v>
      </c>
      <c r="N113" s="106" t="e">
        <f>IF($B113*#REF!&gt;=N$7/#REF!+N$6,$B113,10^6)</f>
        <v>#REF!</v>
      </c>
    </row>
    <row r="114" spans="1:14" x14ac:dyDescent="0.25">
      <c r="A114" s="879"/>
      <c r="B114" s="68">
        <v>32</v>
      </c>
      <c r="C114" s="345"/>
      <c r="D114" s="106" t="e">
        <f>IF($B114*#REF!&gt;=D$7/#REF!+D$6,$B114,10^6)</f>
        <v>#REF!</v>
      </c>
      <c r="E114" s="106" t="e">
        <f>IF($B114*#REF!&gt;=E$7/#REF!+E$6,$B114,10^6)</f>
        <v>#REF!</v>
      </c>
      <c r="F114" s="106" t="e">
        <f>IF($B114*#REF!&gt;=F$7/#REF!+F$6,$B114,10^6)</f>
        <v>#REF!</v>
      </c>
      <c r="G114" s="106" t="e">
        <f>IF($B114*#REF!&gt;=G$7/#REF!+G$6,$B114,10^6)</f>
        <v>#REF!</v>
      </c>
      <c r="H114" s="106" t="e">
        <f>IF($B114*#REF!&gt;=H$7/#REF!+H$6,$B114,10^6)</f>
        <v>#REF!</v>
      </c>
      <c r="I114" s="106" t="e">
        <f>IF($B114*#REF!&gt;=I$7/#REF!+I$6,$B114,10^6)</f>
        <v>#REF!</v>
      </c>
      <c r="J114" s="106" t="e">
        <f>IF($B114*#REF!&gt;=J$7/#REF!+J$6,$B114,10^6)</f>
        <v>#REF!</v>
      </c>
      <c r="K114" s="106" t="e">
        <f>IF($B114*#REF!&gt;=K$7/#REF!+K$6,$B114,10^6)</f>
        <v>#REF!</v>
      </c>
      <c r="L114" s="106" t="e">
        <f>IF($B114*#REF!&gt;=L$7/#REF!+L$6,$B114,10^6)</f>
        <v>#REF!</v>
      </c>
      <c r="M114" s="106" t="e">
        <f>IF($B114*#REF!&gt;=M$7/#REF!+M$6,$B114,10^6)</f>
        <v>#REF!</v>
      </c>
      <c r="N114" s="106" t="e">
        <f>IF($B114*#REF!&gt;=N$7/#REF!+N$6,$B114,10^6)</f>
        <v>#REF!</v>
      </c>
    </row>
    <row r="115" spans="1:14" x14ac:dyDescent="0.25">
      <c r="A115" s="879"/>
      <c r="B115" s="68">
        <v>36</v>
      </c>
      <c r="C115" s="345"/>
      <c r="D115" s="106" t="e">
        <f>IF($B115*#REF!&gt;=D$7/#REF!+D$6,$B115,10^6)</f>
        <v>#REF!</v>
      </c>
      <c r="E115" s="106" t="e">
        <f>IF($B115*#REF!&gt;=E$7/#REF!+E$6,$B115,10^6)</f>
        <v>#REF!</v>
      </c>
      <c r="F115" s="106" t="e">
        <f>IF($B115*#REF!&gt;=F$7/#REF!+F$6,$B115,10^6)</f>
        <v>#REF!</v>
      </c>
      <c r="G115" s="106" t="e">
        <f>IF($B115*#REF!&gt;=G$7/#REF!+G$6,$B115,10^6)</f>
        <v>#REF!</v>
      </c>
      <c r="H115" s="106" t="e">
        <f>IF($B115*#REF!&gt;=H$7/#REF!+H$6,$B115,10^6)</f>
        <v>#REF!</v>
      </c>
      <c r="I115" s="106" t="e">
        <f>IF($B115*#REF!&gt;=I$7/#REF!+I$6,$B115,10^6)</f>
        <v>#REF!</v>
      </c>
      <c r="J115" s="106" t="e">
        <f>IF($B115*#REF!&gt;=J$7/#REF!+J$6,$B115,10^6)</f>
        <v>#REF!</v>
      </c>
      <c r="K115" s="106" t="e">
        <f>IF($B115*#REF!&gt;=K$7/#REF!+K$6,$B115,10^6)</f>
        <v>#REF!</v>
      </c>
      <c r="L115" s="106" t="e">
        <f>IF($B115*#REF!&gt;=L$7/#REF!+L$6,$B115,10^6)</f>
        <v>#REF!</v>
      </c>
      <c r="M115" s="106" t="e">
        <f>IF($B115*#REF!&gt;=M$7/#REF!+M$6,$B115,10^6)</f>
        <v>#REF!</v>
      </c>
      <c r="N115" s="106" t="e">
        <f>IF($B115*#REF!&gt;=N$7/#REF!+N$6,$B115,10^6)</f>
        <v>#REF!</v>
      </c>
    </row>
    <row r="116" spans="1:14" x14ac:dyDescent="0.25">
      <c r="A116" s="879"/>
      <c r="B116" s="68">
        <v>40</v>
      </c>
      <c r="C116" s="345"/>
      <c r="D116" s="106" t="e">
        <f>IF($B116*#REF!&gt;=D$7/#REF!+D$6,$B116,10^6)</f>
        <v>#REF!</v>
      </c>
      <c r="E116" s="106" t="e">
        <f>IF($B116*#REF!&gt;=E$7/#REF!+E$6,$B116,10^6)</f>
        <v>#REF!</v>
      </c>
      <c r="F116" s="106" t="e">
        <f>IF($B116*#REF!&gt;=F$7/#REF!+F$6,$B116,10^6)</f>
        <v>#REF!</v>
      </c>
      <c r="G116" s="106" t="e">
        <f>IF($B116*#REF!&gt;=G$7/#REF!+G$6,$B116,10^6)</f>
        <v>#REF!</v>
      </c>
      <c r="H116" s="106" t="e">
        <f>IF($B116*#REF!&gt;=H$7/#REF!+H$6,$B116,10^6)</f>
        <v>#REF!</v>
      </c>
      <c r="I116" s="106" t="e">
        <f>IF($B116*#REF!&gt;=I$7/#REF!+I$6,$B116,10^6)</f>
        <v>#REF!</v>
      </c>
      <c r="J116" s="106" t="e">
        <f>IF($B116*#REF!&gt;=J$7/#REF!+J$6,$B116,10^6)</f>
        <v>#REF!</v>
      </c>
      <c r="K116" s="106" t="e">
        <f>IF($B116*#REF!&gt;=K$7/#REF!+K$6,$B116,10^6)</f>
        <v>#REF!</v>
      </c>
      <c r="L116" s="106" t="e">
        <f>IF($B116*#REF!&gt;=L$7/#REF!+L$6,$B116,10^6)</f>
        <v>#REF!</v>
      </c>
      <c r="M116" s="106" t="e">
        <f>IF($B116*#REF!&gt;=M$7/#REF!+M$6,$B116,10^6)</f>
        <v>#REF!</v>
      </c>
      <c r="N116" s="106" t="e">
        <f>IF($B116*#REF!&gt;=N$7/#REF!+N$6,$B116,10^6)</f>
        <v>#REF!</v>
      </c>
    </row>
    <row r="117" spans="1:14" x14ac:dyDescent="0.25">
      <c r="A117" s="879"/>
      <c r="B117" s="68">
        <v>44</v>
      </c>
      <c r="C117" s="345"/>
      <c r="D117" s="106" t="e">
        <f>IF($B117*#REF!&gt;=D$7/#REF!+D$6,$B117,10^6)</f>
        <v>#REF!</v>
      </c>
      <c r="E117" s="106" t="e">
        <f>IF($B117*#REF!&gt;=E$7/#REF!+E$6,$B117,10^6)</f>
        <v>#REF!</v>
      </c>
      <c r="F117" s="106" t="e">
        <f>IF($B117*#REF!&gt;=F$7/#REF!+F$6,$B117,10^6)</f>
        <v>#REF!</v>
      </c>
      <c r="G117" s="106" t="e">
        <f>IF($B117*#REF!&gt;=G$7/#REF!+G$6,$B117,10^6)</f>
        <v>#REF!</v>
      </c>
      <c r="H117" s="106" t="e">
        <f>IF($B117*#REF!&gt;=H$7/#REF!+H$6,$B117,10^6)</f>
        <v>#REF!</v>
      </c>
      <c r="I117" s="106" t="e">
        <f>IF($B117*#REF!&gt;=I$7/#REF!+I$6,$B117,10^6)</f>
        <v>#REF!</v>
      </c>
      <c r="J117" s="106" t="e">
        <f>IF($B117*#REF!&gt;=J$7/#REF!+J$6,$B117,10^6)</f>
        <v>#REF!</v>
      </c>
      <c r="K117" s="106" t="e">
        <f>IF($B117*#REF!&gt;=K$7/#REF!+K$6,$B117,10^6)</f>
        <v>#REF!</v>
      </c>
      <c r="L117" s="106" t="e">
        <f>IF($B117*#REF!&gt;=L$7/#REF!+L$6,$B117,10^6)</f>
        <v>#REF!</v>
      </c>
      <c r="M117" s="106" t="e">
        <f>IF($B117*#REF!&gt;=M$7/#REF!+M$6,$B117,10^6)</f>
        <v>#REF!</v>
      </c>
      <c r="N117" s="106" t="e">
        <f>IF($B117*#REF!&gt;=N$7/#REF!+N$6,$B117,10^6)</f>
        <v>#REF!</v>
      </c>
    </row>
    <row r="118" spans="1:14" x14ac:dyDescent="0.25">
      <c r="A118" s="879"/>
      <c r="B118" s="68">
        <v>48</v>
      </c>
      <c r="C118" s="345"/>
      <c r="D118" s="106" t="e">
        <f>IF($B118*#REF!&gt;=D$7/#REF!+D$6,$B118,10^6)</f>
        <v>#REF!</v>
      </c>
      <c r="E118" s="106" t="e">
        <f>IF($B118*#REF!&gt;=E$7/#REF!+E$6,$B118,10^6)</f>
        <v>#REF!</v>
      </c>
      <c r="F118" s="106" t="e">
        <f>IF($B118*#REF!&gt;=F$7/#REF!+F$6,$B118,10^6)</f>
        <v>#REF!</v>
      </c>
      <c r="G118" s="106" t="e">
        <f>IF($B118*#REF!&gt;=G$7/#REF!+G$6,$B118,10^6)</f>
        <v>#REF!</v>
      </c>
      <c r="H118" s="106" t="e">
        <f>IF($B118*#REF!&gt;=H$7/#REF!+H$6,$B118,10^6)</f>
        <v>#REF!</v>
      </c>
      <c r="I118" s="106" t="e">
        <f>IF($B118*#REF!&gt;=I$7/#REF!+I$6,$B118,10^6)</f>
        <v>#REF!</v>
      </c>
      <c r="J118" s="106" t="e">
        <f>IF($B118*#REF!&gt;=J$7/#REF!+J$6,$B118,10^6)</f>
        <v>#REF!</v>
      </c>
      <c r="K118" s="106" t="e">
        <f>IF($B118*#REF!&gt;=K$7/#REF!+K$6,$B118,10^6)</f>
        <v>#REF!</v>
      </c>
      <c r="L118" s="106" t="e">
        <f>IF($B118*#REF!&gt;=L$7/#REF!+L$6,$B118,10^6)</f>
        <v>#REF!</v>
      </c>
      <c r="M118" s="106" t="e">
        <f>IF($B118*#REF!&gt;=M$7/#REF!+M$6,$B118,10^6)</f>
        <v>#REF!</v>
      </c>
      <c r="N118" s="106" t="e">
        <f>IF($B118*#REF!&gt;=N$7/#REF!+N$6,$B118,10^6)</f>
        <v>#REF!</v>
      </c>
    </row>
    <row r="119" spans="1:14" x14ac:dyDescent="0.25">
      <c r="A119" s="879"/>
      <c r="B119" s="68">
        <v>52</v>
      </c>
      <c r="C119" s="345"/>
      <c r="D119" s="106" t="e">
        <f>IF($B119*#REF!&gt;=D$7/#REF!+D$6,$B119,10^6)</f>
        <v>#REF!</v>
      </c>
      <c r="E119" s="106" t="e">
        <f>IF($B119*#REF!&gt;=E$7/#REF!+E$6,$B119,10^6)</f>
        <v>#REF!</v>
      </c>
      <c r="F119" s="106" t="e">
        <f>IF($B119*#REF!&gt;=F$7/#REF!+F$6,$B119,10^6)</f>
        <v>#REF!</v>
      </c>
      <c r="G119" s="106" t="e">
        <f>IF($B119*#REF!&gt;=G$7/#REF!+G$6,$B119,10^6)</f>
        <v>#REF!</v>
      </c>
      <c r="H119" s="106" t="e">
        <f>IF($B119*#REF!&gt;=H$7/#REF!+H$6,$B119,10^6)</f>
        <v>#REF!</v>
      </c>
      <c r="I119" s="106" t="e">
        <f>IF($B119*#REF!&gt;=I$7/#REF!+I$6,$B119,10^6)</f>
        <v>#REF!</v>
      </c>
      <c r="J119" s="106" t="e">
        <f>IF($B119*#REF!&gt;=J$7/#REF!+J$6,$B119,10^6)</f>
        <v>#REF!</v>
      </c>
      <c r="K119" s="106" t="e">
        <f>IF($B119*#REF!&gt;=K$7/#REF!+K$6,$B119,10^6)</f>
        <v>#REF!</v>
      </c>
      <c r="L119" s="106" t="e">
        <f>IF($B119*#REF!&gt;=L$7/#REF!+L$6,$B119,10^6)</f>
        <v>#REF!</v>
      </c>
      <c r="M119" s="106" t="e">
        <f>IF($B119*#REF!&gt;=M$7/#REF!+M$6,$B119,10^6)</f>
        <v>#REF!</v>
      </c>
      <c r="N119" s="106" t="e">
        <f>IF($B119*#REF!&gt;=N$7/#REF!+N$6,$B119,10^6)</f>
        <v>#REF!</v>
      </c>
    </row>
    <row r="120" spans="1:14" x14ac:dyDescent="0.25">
      <c r="A120" s="879"/>
      <c r="B120" s="68">
        <v>56</v>
      </c>
      <c r="C120" s="345"/>
      <c r="D120" s="106" t="e">
        <f>IF($B120*#REF!&gt;=D$7/#REF!+D$6,$B120,10^6)</f>
        <v>#REF!</v>
      </c>
      <c r="E120" s="106" t="e">
        <f>IF($B120*#REF!&gt;=E$7/#REF!+E$6,$B120,10^6)</f>
        <v>#REF!</v>
      </c>
      <c r="F120" s="106" t="e">
        <f>IF($B120*#REF!&gt;=F$7/#REF!+F$6,$B120,10^6)</f>
        <v>#REF!</v>
      </c>
      <c r="G120" s="106" t="e">
        <f>IF($B120*#REF!&gt;=G$7/#REF!+G$6,$B120,10^6)</f>
        <v>#REF!</v>
      </c>
      <c r="H120" s="106" t="e">
        <f>IF($B120*#REF!&gt;=H$7/#REF!+H$6,$B120,10^6)</f>
        <v>#REF!</v>
      </c>
      <c r="I120" s="106" t="e">
        <f>IF($B120*#REF!&gt;=I$7/#REF!+I$6,$B120,10^6)</f>
        <v>#REF!</v>
      </c>
      <c r="J120" s="106" t="e">
        <f>IF($B120*#REF!&gt;=J$7/#REF!+J$6,$B120,10^6)</f>
        <v>#REF!</v>
      </c>
      <c r="K120" s="106" t="e">
        <f>IF($B120*#REF!&gt;=K$7/#REF!+K$6,$B120,10^6)</f>
        <v>#REF!</v>
      </c>
      <c r="L120" s="106" t="e">
        <f>IF($B120*#REF!&gt;=L$7/#REF!+L$6,$B120,10^6)</f>
        <v>#REF!</v>
      </c>
      <c r="M120" s="106" t="e">
        <f>IF($B120*#REF!&gt;=M$7/#REF!+M$6,$B120,10^6)</f>
        <v>#REF!</v>
      </c>
      <c r="N120" s="106" t="e">
        <f>IF($B120*#REF!&gt;=N$7/#REF!+N$6,$B120,10^6)</f>
        <v>#REF!</v>
      </c>
    </row>
    <row r="121" spans="1:14" x14ac:dyDescent="0.25">
      <c r="A121" s="879"/>
      <c r="B121" s="68">
        <v>60</v>
      </c>
      <c r="C121" s="345"/>
      <c r="D121" s="106" t="e">
        <f>IF($B121*#REF!&gt;=D$7/#REF!+D$6,$B121,10^6)</f>
        <v>#REF!</v>
      </c>
      <c r="E121" s="106" t="e">
        <f>IF($B121*#REF!&gt;=E$7/#REF!+E$6,$B121,10^6)</f>
        <v>#REF!</v>
      </c>
      <c r="F121" s="106" t="e">
        <f>IF($B121*#REF!&gt;=F$7/#REF!+F$6,$B121,10^6)</f>
        <v>#REF!</v>
      </c>
      <c r="G121" s="106" t="e">
        <f>IF($B121*#REF!&gt;=G$7/#REF!+G$6,$B121,10^6)</f>
        <v>#REF!</v>
      </c>
      <c r="H121" s="106" t="e">
        <f>IF($B121*#REF!&gt;=H$7/#REF!+H$6,$B121,10^6)</f>
        <v>#REF!</v>
      </c>
      <c r="I121" s="106" t="e">
        <f>IF($B121*#REF!&gt;=I$7/#REF!+I$6,$B121,10^6)</f>
        <v>#REF!</v>
      </c>
      <c r="J121" s="106" t="e">
        <f>IF($B121*#REF!&gt;=J$7/#REF!+J$6,$B121,10^6)</f>
        <v>#REF!</v>
      </c>
      <c r="K121" s="106" t="e">
        <f>IF($B121*#REF!&gt;=K$7/#REF!+K$6,$B121,10^6)</f>
        <v>#REF!</v>
      </c>
      <c r="L121" s="106" t="e">
        <f>IF($B121*#REF!&gt;=L$7/#REF!+L$6,$B121,10^6)</f>
        <v>#REF!</v>
      </c>
      <c r="M121" s="106" t="e">
        <f>IF($B121*#REF!&gt;=M$7/#REF!+M$6,$B121,10^6)</f>
        <v>#REF!</v>
      </c>
      <c r="N121" s="106" t="e">
        <f>IF($B121*#REF!&gt;=N$7/#REF!+N$6,$B121,10^6)</f>
        <v>#REF!</v>
      </c>
    </row>
    <row r="122" spans="1:14" x14ac:dyDescent="0.25">
      <c r="A122" s="879"/>
      <c r="B122" s="68">
        <v>64</v>
      </c>
      <c r="C122" s="345"/>
      <c r="D122" s="106" t="e">
        <f>IF($B122*#REF!&gt;=D$7/#REF!+D$6,$B122,10^6)</f>
        <v>#REF!</v>
      </c>
      <c r="E122" s="106" t="e">
        <f>IF($B122*#REF!&gt;=E$7/#REF!+E$6,$B122,10^6)</f>
        <v>#REF!</v>
      </c>
      <c r="F122" s="106" t="e">
        <f>IF($B122*#REF!&gt;=F$7/#REF!+F$6,$B122,10^6)</f>
        <v>#REF!</v>
      </c>
      <c r="G122" s="106" t="e">
        <f>IF($B122*#REF!&gt;=G$7/#REF!+G$6,$B122,10^6)</f>
        <v>#REF!</v>
      </c>
      <c r="H122" s="106" t="e">
        <f>IF($B122*#REF!&gt;=H$7/#REF!+H$6,$B122,10^6)</f>
        <v>#REF!</v>
      </c>
      <c r="I122" s="106" t="e">
        <f>IF($B122*#REF!&gt;=I$7/#REF!+I$6,$B122,10^6)</f>
        <v>#REF!</v>
      </c>
      <c r="J122" s="106" t="e">
        <f>IF($B122*#REF!&gt;=J$7/#REF!+J$6,$B122,10^6)</f>
        <v>#REF!</v>
      </c>
      <c r="K122" s="106" t="e">
        <f>IF($B122*#REF!&gt;=K$7/#REF!+K$6,$B122,10^6)</f>
        <v>#REF!</v>
      </c>
      <c r="L122" s="106" t="e">
        <f>IF($B122*#REF!&gt;=L$7/#REF!+L$6,$B122,10^6)</f>
        <v>#REF!</v>
      </c>
      <c r="M122" s="106" t="e">
        <f>IF($B122*#REF!&gt;=M$7/#REF!+M$6,$B122,10^6)</f>
        <v>#REF!</v>
      </c>
      <c r="N122" s="106" t="e">
        <f>IF($B122*#REF!&gt;=N$7/#REF!+N$6,$B122,10^6)</f>
        <v>#REF!</v>
      </c>
    </row>
    <row r="123" spans="1:14" x14ac:dyDescent="0.25">
      <c r="A123" s="879"/>
      <c r="B123" s="68">
        <v>72</v>
      </c>
      <c r="C123" s="345"/>
      <c r="D123" s="106" t="e">
        <f>IF($B123*#REF!&gt;=D$7/#REF!+D$6,$B123,10^6)</f>
        <v>#REF!</v>
      </c>
      <c r="E123" s="106" t="e">
        <f>IF($B123*#REF!&gt;=E$7/#REF!+E$6,$B123,10^6)</f>
        <v>#REF!</v>
      </c>
      <c r="F123" s="106" t="e">
        <f>IF($B123*#REF!&gt;=F$7/#REF!+F$6,$B123,10^6)</f>
        <v>#REF!</v>
      </c>
      <c r="G123" s="106" t="e">
        <f>IF($B123*#REF!&gt;=G$7/#REF!+G$6,$B123,10^6)</f>
        <v>#REF!</v>
      </c>
      <c r="H123" s="106" t="e">
        <f>IF($B123*#REF!&gt;=H$7/#REF!+H$6,$B123,10^6)</f>
        <v>#REF!</v>
      </c>
      <c r="I123" s="106" t="e">
        <f>IF($B123*#REF!&gt;=I$7/#REF!+I$6,$B123,10^6)</f>
        <v>#REF!</v>
      </c>
      <c r="J123" s="106" t="e">
        <f>IF($B123*#REF!&gt;=J$7/#REF!+J$6,$B123,10^6)</f>
        <v>#REF!</v>
      </c>
      <c r="K123" s="106" t="e">
        <f>IF($B123*#REF!&gt;=K$7/#REF!+K$6,$B123,10^6)</f>
        <v>#REF!</v>
      </c>
      <c r="L123" s="106" t="e">
        <f>IF($B123*#REF!&gt;=L$7/#REF!+L$6,$B123,10^6)</f>
        <v>#REF!</v>
      </c>
      <c r="M123" s="106" t="e">
        <f>IF($B123*#REF!&gt;=M$7/#REF!+M$6,$B123,10^6)</f>
        <v>#REF!</v>
      </c>
      <c r="N123" s="106" t="e">
        <f>IF($B123*#REF!&gt;=N$7/#REF!+N$6,$B123,10^6)</f>
        <v>#REF!</v>
      </c>
    </row>
    <row r="124" spans="1:14" x14ac:dyDescent="0.25">
      <c r="A124" s="879"/>
      <c r="B124" s="68">
        <v>80</v>
      </c>
      <c r="C124" s="345"/>
      <c r="D124" s="106" t="e">
        <f>IF($B124*#REF!&gt;=D$7/#REF!+D$6,$B124,10^6)</f>
        <v>#REF!</v>
      </c>
      <c r="E124" s="106" t="e">
        <f>IF($B124*#REF!&gt;=E$7/#REF!+E$6,$B124,10^6)</f>
        <v>#REF!</v>
      </c>
      <c r="F124" s="106" t="e">
        <f>IF($B124*#REF!&gt;=F$7/#REF!+F$6,$B124,10^6)</f>
        <v>#REF!</v>
      </c>
      <c r="G124" s="106" t="e">
        <f>IF($B124*#REF!&gt;=G$7/#REF!+G$6,$B124,10^6)</f>
        <v>#REF!</v>
      </c>
      <c r="H124" s="106" t="e">
        <f>IF($B124*#REF!&gt;=H$7/#REF!+H$6,$B124,10^6)</f>
        <v>#REF!</v>
      </c>
      <c r="I124" s="106" t="e">
        <f>IF($B124*#REF!&gt;=I$7/#REF!+I$6,$B124,10^6)</f>
        <v>#REF!</v>
      </c>
      <c r="J124" s="106" t="e">
        <f>IF($B124*#REF!&gt;=J$7/#REF!+J$6,$B124,10^6)</f>
        <v>#REF!</v>
      </c>
      <c r="K124" s="106" t="e">
        <f>IF($B124*#REF!&gt;=K$7/#REF!+K$6,$B124,10^6)</f>
        <v>#REF!</v>
      </c>
      <c r="L124" s="106" t="e">
        <f>IF($B124*#REF!&gt;=L$7/#REF!+L$6,$B124,10^6)</f>
        <v>#REF!</v>
      </c>
      <c r="M124" s="106" t="e">
        <f>IF($B124*#REF!&gt;=M$7/#REF!+M$6,$B124,10^6)</f>
        <v>#REF!</v>
      </c>
      <c r="N124" s="106" t="e">
        <f>IF($B124*#REF!&gt;=N$7/#REF!+N$6,$B124,10^6)</f>
        <v>#REF!</v>
      </c>
    </row>
    <row r="125" spans="1:14" x14ac:dyDescent="0.25">
      <c r="A125" s="879"/>
      <c r="B125" s="68">
        <v>88</v>
      </c>
      <c r="C125" s="345"/>
      <c r="D125" s="106" t="e">
        <f>IF($B125*#REF!&gt;=D$7/#REF!+D$6,$B125,10^6)</f>
        <v>#REF!</v>
      </c>
      <c r="E125" s="106" t="e">
        <f>IF($B125*#REF!&gt;=E$7/#REF!+E$6,$B125,10^6)</f>
        <v>#REF!</v>
      </c>
      <c r="F125" s="106" t="e">
        <f>IF($B125*#REF!&gt;=F$7/#REF!+F$6,$B125,10^6)</f>
        <v>#REF!</v>
      </c>
      <c r="G125" s="106" t="e">
        <f>IF($B125*#REF!&gt;=G$7/#REF!+G$6,$B125,10^6)</f>
        <v>#REF!</v>
      </c>
      <c r="H125" s="106" t="e">
        <f>IF($B125*#REF!&gt;=H$7/#REF!+H$6,$B125,10^6)</f>
        <v>#REF!</v>
      </c>
      <c r="I125" s="106" t="e">
        <f>IF($B125*#REF!&gt;=I$7/#REF!+I$6,$B125,10^6)</f>
        <v>#REF!</v>
      </c>
      <c r="J125" s="106" t="e">
        <f>IF($B125*#REF!&gt;=J$7/#REF!+J$6,$B125,10^6)</f>
        <v>#REF!</v>
      </c>
      <c r="K125" s="106" t="e">
        <f>IF($B125*#REF!&gt;=K$7/#REF!+K$6,$B125,10^6)</f>
        <v>#REF!</v>
      </c>
      <c r="L125" s="106" t="e">
        <f>IF($B125*#REF!&gt;=L$7/#REF!+L$6,$B125,10^6)</f>
        <v>#REF!</v>
      </c>
      <c r="M125" s="106" t="e">
        <f>IF($B125*#REF!&gt;=M$7/#REF!+M$6,$B125,10^6)</f>
        <v>#REF!</v>
      </c>
      <c r="N125" s="106" t="e">
        <f>IF($B125*#REF!&gt;=N$7/#REF!+N$6,$B125,10^6)</f>
        <v>#REF!</v>
      </c>
    </row>
    <row r="126" spans="1:14" x14ac:dyDescent="0.25">
      <c r="A126" s="879"/>
      <c r="B126" s="68">
        <v>96</v>
      </c>
      <c r="C126" s="345"/>
      <c r="D126" s="106" t="e">
        <f>IF($B126*#REF!&gt;=D$7/#REF!+D$6,$B126,10^6)</f>
        <v>#REF!</v>
      </c>
      <c r="E126" s="106" t="e">
        <f>IF($B126*#REF!&gt;=E$7/#REF!+E$6,$B126,10^6)</f>
        <v>#REF!</v>
      </c>
      <c r="F126" s="106" t="e">
        <f>IF($B126*#REF!&gt;=F$7/#REF!+F$6,$B126,10^6)</f>
        <v>#REF!</v>
      </c>
      <c r="G126" s="106" t="e">
        <f>IF($B126*#REF!&gt;=G$7/#REF!+G$6,$B126,10^6)</f>
        <v>#REF!</v>
      </c>
      <c r="H126" s="106" t="e">
        <f>IF($B126*#REF!&gt;=H$7/#REF!+H$6,$B126,10^6)</f>
        <v>#REF!</v>
      </c>
      <c r="I126" s="106" t="e">
        <f>IF($B126*#REF!&gt;=I$7/#REF!+I$6,$B126,10^6)</f>
        <v>#REF!</v>
      </c>
      <c r="J126" s="106" t="e">
        <f>IF($B126*#REF!&gt;=J$7/#REF!+J$6,$B126,10^6)</f>
        <v>#REF!</v>
      </c>
      <c r="K126" s="106" t="e">
        <f>IF($B126*#REF!&gt;=K$7/#REF!+K$6,$B126,10^6)</f>
        <v>#REF!</v>
      </c>
      <c r="L126" s="106" t="e">
        <f>IF($B126*#REF!&gt;=L$7/#REF!+L$6,$B126,10^6)</f>
        <v>#REF!</v>
      </c>
      <c r="M126" s="106" t="e">
        <f>IF($B126*#REF!&gt;=M$7/#REF!+M$6,$B126,10^6)</f>
        <v>#REF!</v>
      </c>
      <c r="N126" s="106" t="e">
        <f>IF($B126*#REF!&gt;=N$7/#REF!+N$6,$B126,10^6)</f>
        <v>#REF!</v>
      </c>
    </row>
    <row r="127" spans="1:14" x14ac:dyDescent="0.25">
      <c r="A127" s="879"/>
      <c r="B127" s="68">
        <v>104</v>
      </c>
      <c r="C127" s="345"/>
      <c r="D127" s="106" t="e">
        <f>IF($B127*#REF!&gt;=D$7/#REF!+D$6,$B127,10^6)</f>
        <v>#REF!</v>
      </c>
      <c r="E127" s="106" t="e">
        <f>IF($B127*#REF!&gt;=E$7/#REF!+E$6,$B127,10^6)</f>
        <v>#REF!</v>
      </c>
      <c r="F127" s="106" t="e">
        <f>IF($B127*#REF!&gt;=F$7/#REF!+F$6,$B127,10^6)</f>
        <v>#REF!</v>
      </c>
      <c r="G127" s="106" t="e">
        <f>IF($B127*#REF!&gt;=G$7/#REF!+G$6,$B127,10^6)</f>
        <v>#REF!</v>
      </c>
      <c r="H127" s="106" t="e">
        <f>IF($B127*#REF!&gt;=H$7/#REF!+H$6,$B127,10^6)</f>
        <v>#REF!</v>
      </c>
      <c r="I127" s="106" t="e">
        <f>IF($B127*#REF!&gt;=I$7/#REF!+I$6,$B127,10^6)</f>
        <v>#REF!</v>
      </c>
      <c r="J127" s="106" t="e">
        <f>IF($B127*#REF!&gt;=J$7/#REF!+J$6,$B127,10^6)</f>
        <v>#REF!</v>
      </c>
      <c r="K127" s="106" t="e">
        <f>IF($B127*#REF!&gt;=K$7/#REF!+K$6,$B127,10^6)</f>
        <v>#REF!</v>
      </c>
      <c r="L127" s="106" t="e">
        <f>IF($B127*#REF!&gt;=L$7/#REF!+L$6,$B127,10^6)</f>
        <v>#REF!</v>
      </c>
      <c r="M127" s="106" t="e">
        <f>IF($B127*#REF!&gt;=M$7/#REF!+M$6,$B127,10^6)</f>
        <v>#REF!</v>
      </c>
      <c r="N127" s="106" t="e">
        <f>IF($B127*#REF!&gt;=N$7/#REF!+N$6,$B127,10^6)</f>
        <v>#REF!</v>
      </c>
    </row>
    <row r="128" spans="1:14" x14ac:dyDescent="0.25">
      <c r="A128" s="879"/>
      <c r="B128" s="68">
        <v>112</v>
      </c>
      <c r="C128" s="345"/>
      <c r="D128" s="106" t="e">
        <f>IF($B128*#REF!&gt;=D$7/#REF!+D$6,$B128,10^6)</f>
        <v>#REF!</v>
      </c>
      <c r="E128" s="106" t="e">
        <f>IF($B128*#REF!&gt;=E$7/#REF!+E$6,$B128,10^6)</f>
        <v>#REF!</v>
      </c>
      <c r="F128" s="106" t="e">
        <f>IF($B128*#REF!&gt;=F$7/#REF!+F$6,$B128,10^6)</f>
        <v>#REF!</v>
      </c>
      <c r="G128" s="106" t="e">
        <f>IF($B128*#REF!&gt;=G$7/#REF!+G$6,$B128,10^6)</f>
        <v>#REF!</v>
      </c>
      <c r="H128" s="106" t="e">
        <f>IF($B128*#REF!&gt;=H$7/#REF!+H$6,$B128,10^6)</f>
        <v>#REF!</v>
      </c>
      <c r="I128" s="106" t="e">
        <f>IF($B128*#REF!&gt;=I$7/#REF!+I$6,$B128,10^6)</f>
        <v>#REF!</v>
      </c>
      <c r="J128" s="106" t="e">
        <f>IF($B128*#REF!&gt;=J$7/#REF!+J$6,$B128,10^6)</f>
        <v>#REF!</v>
      </c>
      <c r="K128" s="106" t="e">
        <f>IF($B128*#REF!&gt;=K$7/#REF!+K$6,$B128,10^6)</f>
        <v>#REF!</v>
      </c>
      <c r="L128" s="106" t="e">
        <f>IF($B128*#REF!&gt;=L$7/#REF!+L$6,$B128,10^6)</f>
        <v>#REF!</v>
      </c>
      <c r="M128" s="106" t="e">
        <f>IF($B128*#REF!&gt;=M$7/#REF!+M$6,$B128,10^6)</f>
        <v>#REF!</v>
      </c>
      <c r="N128" s="106" t="e">
        <f>IF($B128*#REF!&gt;=N$7/#REF!+N$6,$B128,10^6)</f>
        <v>#REF!</v>
      </c>
    </row>
    <row r="129" spans="1:14" x14ac:dyDescent="0.25">
      <c r="A129" s="879"/>
      <c r="B129" s="68">
        <v>120</v>
      </c>
      <c r="C129" s="345"/>
      <c r="D129" s="106" t="e">
        <f>IF($B129*#REF!&gt;=D$7/#REF!+D$6,$B129,10^6)</f>
        <v>#REF!</v>
      </c>
      <c r="E129" s="106" t="e">
        <f>IF($B129*#REF!&gt;=E$7/#REF!+E$6,$B129,10^6)</f>
        <v>#REF!</v>
      </c>
      <c r="F129" s="106" t="e">
        <f>IF($B129*#REF!&gt;=F$7/#REF!+F$6,$B129,10^6)</f>
        <v>#REF!</v>
      </c>
      <c r="G129" s="106" t="e">
        <f>IF($B129*#REF!&gt;=G$7/#REF!+G$6,$B129,10^6)</f>
        <v>#REF!</v>
      </c>
      <c r="H129" s="106" t="e">
        <f>IF($B129*#REF!&gt;=H$7/#REF!+H$6,$B129,10^6)</f>
        <v>#REF!</v>
      </c>
      <c r="I129" s="106" t="e">
        <f>IF($B129*#REF!&gt;=I$7/#REF!+I$6,$B129,10^6)</f>
        <v>#REF!</v>
      </c>
      <c r="J129" s="106" t="e">
        <f>IF($B129*#REF!&gt;=J$7/#REF!+J$6,$B129,10^6)</f>
        <v>#REF!</v>
      </c>
      <c r="K129" s="106" t="e">
        <f>IF($B129*#REF!&gt;=K$7/#REF!+K$6,$B129,10^6)</f>
        <v>#REF!</v>
      </c>
      <c r="L129" s="106" t="e">
        <f>IF($B129*#REF!&gt;=L$7/#REF!+L$6,$B129,10^6)</f>
        <v>#REF!</v>
      </c>
      <c r="M129" s="106" t="e">
        <f>IF($B129*#REF!&gt;=M$7/#REF!+M$6,$B129,10^6)</f>
        <v>#REF!</v>
      </c>
      <c r="N129" s="106" t="e">
        <f>IF($B129*#REF!&gt;=N$7/#REF!+N$6,$B129,10^6)</f>
        <v>#REF!</v>
      </c>
    </row>
    <row r="130" spans="1:14" x14ac:dyDescent="0.25">
      <c r="A130" s="879"/>
      <c r="B130" s="68">
        <v>128</v>
      </c>
      <c r="C130" s="345"/>
      <c r="D130" s="106" t="e">
        <f>IF($B130*#REF!&gt;=D$7/#REF!+D$6,$B130,10^6)</f>
        <v>#REF!</v>
      </c>
      <c r="E130" s="106" t="e">
        <f>IF($B130*#REF!&gt;=E$7/#REF!+E$6,$B130,10^6)</f>
        <v>#REF!</v>
      </c>
      <c r="F130" s="106" t="e">
        <f>IF($B130*#REF!&gt;=F$7/#REF!+F$6,$B130,10^6)</f>
        <v>#REF!</v>
      </c>
      <c r="G130" s="106" t="e">
        <f>IF($B130*#REF!&gt;=G$7/#REF!+G$6,$B130,10^6)</f>
        <v>#REF!</v>
      </c>
      <c r="H130" s="106" t="e">
        <f>IF($B130*#REF!&gt;=H$7/#REF!+H$6,$B130,10^6)</f>
        <v>#REF!</v>
      </c>
      <c r="I130" s="106" t="e">
        <f>IF($B130*#REF!&gt;=I$7/#REF!+I$6,$B130,10^6)</f>
        <v>#REF!</v>
      </c>
      <c r="J130" s="106" t="e">
        <f>IF($B130*#REF!&gt;=J$7/#REF!+J$6,$B130,10^6)</f>
        <v>#REF!</v>
      </c>
      <c r="K130" s="106" t="e">
        <f>IF($B130*#REF!&gt;=K$7/#REF!+K$6,$B130,10^6)</f>
        <v>#REF!</v>
      </c>
      <c r="L130" s="106" t="e">
        <f>IF($B130*#REF!&gt;=L$7/#REF!+L$6,$B130,10^6)</f>
        <v>#REF!</v>
      </c>
      <c r="M130" s="106" t="e">
        <f>IF($B130*#REF!&gt;=M$7/#REF!+M$6,$B130,10^6)</f>
        <v>#REF!</v>
      </c>
      <c r="N130" s="106" t="e">
        <f>IF($B130*#REF!&gt;=N$7/#REF!+N$6,$B130,10^6)</f>
        <v>#REF!</v>
      </c>
    </row>
    <row r="131" spans="1:14" x14ac:dyDescent="0.25">
      <c r="A131" s="879"/>
      <c r="B131" s="68">
        <v>144</v>
      </c>
      <c r="C131" s="345"/>
      <c r="D131" s="106" t="e">
        <f>IF($B131*#REF!&gt;=D$7/#REF!+D$6,$B131,10^6)</f>
        <v>#REF!</v>
      </c>
      <c r="E131" s="106" t="e">
        <f>IF($B131*#REF!&gt;=E$7/#REF!+E$6,$B131,10^6)</f>
        <v>#REF!</v>
      </c>
      <c r="F131" s="106" t="e">
        <f>IF($B131*#REF!&gt;=F$7/#REF!+F$6,$B131,10^6)</f>
        <v>#REF!</v>
      </c>
      <c r="G131" s="106" t="e">
        <f>IF($B131*#REF!&gt;=G$7/#REF!+G$6,$B131,10^6)</f>
        <v>#REF!</v>
      </c>
      <c r="H131" s="106" t="e">
        <f>IF($B131*#REF!&gt;=H$7/#REF!+H$6,$B131,10^6)</f>
        <v>#REF!</v>
      </c>
      <c r="I131" s="106" t="e">
        <f>IF($B131*#REF!&gt;=I$7/#REF!+I$6,$B131,10^6)</f>
        <v>#REF!</v>
      </c>
      <c r="J131" s="106" t="e">
        <f>IF($B131*#REF!&gt;=J$7/#REF!+J$6,$B131,10^6)</f>
        <v>#REF!</v>
      </c>
      <c r="K131" s="106" t="e">
        <f>IF($B131*#REF!&gt;=K$7/#REF!+K$6,$B131,10^6)</f>
        <v>#REF!</v>
      </c>
      <c r="L131" s="106" t="e">
        <f>IF($B131*#REF!&gt;=L$7/#REF!+L$6,$B131,10^6)</f>
        <v>#REF!</v>
      </c>
      <c r="M131" s="106" t="e">
        <f>IF($B131*#REF!&gt;=M$7/#REF!+M$6,$B131,10^6)</f>
        <v>#REF!</v>
      </c>
      <c r="N131" s="106" t="e">
        <f>IF($B131*#REF!&gt;=N$7/#REF!+N$6,$B131,10^6)</f>
        <v>#REF!</v>
      </c>
    </row>
    <row r="132" spans="1:14" x14ac:dyDescent="0.25">
      <c r="A132" s="879"/>
      <c r="B132" s="68">
        <v>160</v>
      </c>
      <c r="C132" s="345"/>
      <c r="D132" s="106" t="e">
        <f>IF($B132*#REF!&gt;=D$7/#REF!+D$6,$B132,10^6)</f>
        <v>#REF!</v>
      </c>
      <c r="E132" s="106" t="e">
        <f>IF($B132*#REF!&gt;=E$7/#REF!+E$6,$B132,10^6)</f>
        <v>#REF!</v>
      </c>
      <c r="F132" s="106" t="e">
        <f>IF($B132*#REF!&gt;=F$7/#REF!+F$6,$B132,10^6)</f>
        <v>#REF!</v>
      </c>
      <c r="G132" s="106" t="e">
        <f>IF($B132*#REF!&gt;=G$7/#REF!+G$6,$B132,10^6)</f>
        <v>#REF!</v>
      </c>
      <c r="H132" s="106" t="e">
        <f>IF($B132*#REF!&gt;=H$7/#REF!+H$6,$B132,10^6)</f>
        <v>#REF!</v>
      </c>
      <c r="I132" s="106" t="e">
        <f>IF($B132*#REF!&gt;=I$7/#REF!+I$6,$B132,10^6)</f>
        <v>#REF!</v>
      </c>
      <c r="J132" s="106" t="e">
        <f>IF($B132*#REF!&gt;=J$7/#REF!+J$6,$B132,10^6)</f>
        <v>#REF!</v>
      </c>
      <c r="K132" s="106" t="e">
        <f>IF($B132*#REF!&gt;=K$7/#REF!+K$6,$B132,10^6)</f>
        <v>#REF!</v>
      </c>
      <c r="L132" s="106" t="e">
        <f>IF($B132*#REF!&gt;=L$7/#REF!+L$6,$B132,10^6)</f>
        <v>#REF!</v>
      </c>
      <c r="M132" s="106" t="e">
        <f>IF($B132*#REF!&gt;=M$7/#REF!+M$6,$B132,10^6)</f>
        <v>#REF!</v>
      </c>
      <c r="N132" s="106" t="e">
        <f>IF($B132*#REF!&gt;=N$7/#REF!+N$6,$B132,10^6)</f>
        <v>#REF!</v>
      </c>
    </row>
    <row r="133" spans="1:14" x14ac:dyDescent="0.25">
      <c r="A133" s="879"/>
      <c r="B133" s="68">
        <v>176</v>
      </c>
      <c r="C133" s="345"/>
      <c r="D133" s="106" t="e">
        <f>IF($B133*#REF!&gt;=D$7/#REF!+D$6,$B133,10^6)</f>
        <v>#REF!</v>
      </c>
      <c r="E133" s="106" t="e">
        <f>IF($B133*#REF!&gt;=E$7/#REF!+E$6,$B133,10^6)</f>
        <v>#REF!</v>
      </c>
      <c r="F133" s="106" t="e">
        <f>IF($B133*#REF!&gt;=F$7/#REF!+F$6,$B133,10^6)</f>
        <v>#REF!</v>
      </c>
      <c r="G133" s="106" t="e">
        <f>IF($B133*#REF!&gt;=G$7/#REF!+G$6,$B133,10^6)</f>
        <v>#REF!</v>
      </c>
      <c r="H133" s="106" t="e">
        <f>IF($B133*#REF!&gt;=H$7/#REF!+H$6,$B133,10^6)</f>
        <v>#REF!</v>
      </c>
      <c r="I133" s="106" t="e">
        <f>IF($B133*#REF!&gt;=I$7/#REF!+I$6,$B133,10^6)</f>
        <v>#REF!</v>
      </c>
      <c r="J133" s="106" t="e">
        <f>IF($B133*#REF!&gt;=J$7/#REF!+J$6,$B133,10^6)</f>
        <v>#REF!</v>
      </c>
      <c r="K133" s="106" t="e">
        <f>IF($B133*#REF!&gt;=K$7/#REF!+K$6,$B133,10^6)</f>
        <v>#REF!</v>
      </c>
      <c r="L133" s="106" t="e">
        <f>IF($B133*#REF!&gt;=L$7/#REF!+L$6,$B133,10^6)</f>
        <v>#REF!</v>
      </c>
      <c r="M133" s="106" t="e">
        <f>IF($B133*#REF!&gt;=M$7/#REF!+M$6,$B133,10^6)</f>
        <v>#REF!</v>
      </c>
      <c r="N133" s="106" t="e">
        <f>IF($B133*#REF!&gt;=N$7/#REF!+N$6,$B133,10^6)</f>
        <v>#REF!</v>
      </c>
    </row>
    <row r="134" spans="1:14" x14ac:dyDescent="0.25">
      <c r="A134" s="879"/>
      <c r="B134" s="68">
        <v>192</v>
      </c>
      <c r="C134" s="345"/>
      <c r="D134" s="106" t="e">
        <f>IF($B134*#REF!&gt;=D$7/#REF!+D$6,$B134,10^6)</f>
        <v>#REF!</v>
      </c>
      <c r="E134" s="106" t="e">
        <f>IF($B134*#REF!&gt;=E$7/#REF!+E$6,$B134,10^6)</f>
        <v>#REF!</v>
      </c>
      <c r="F134" s="106" t="e">
        <f>IF($B134*#REF!&gt;=F$7/#REF!+F$6,$B134,10^6)</f>
        <v>#REF!</v>
      </c>
      <c r="G134" s="106" t="e">
        <f>IF($B134*#REF!&gt;=G$7/#REF!+G$6,$B134,10^6)</f>
        <v>#REF!</v>
      </c>
      <c r="H134" s="106" t="e">
        <f>IF($B134*#REF!&gt;=H$7/#REF!+H$6,$B134,10^6)</f>
        <v>#REF!</v>
      </c>
      <c r="I134" s="106" t="e">
        <f>IF($B134*#REF!&gt;=I$7/#REF!+I$6,$B134,10^6)</f>
        <v>#REF!</v>
      </c>
      <c r="J134" s="106" t="e">
        <f>IF($B134*#REF!&gt;=J$7/#REF!+J$6,$B134,10^6)</f>
        <v>#REF!</v>
      </c>
      <c r="K134" s="106" t="e">
        <f>IF($B134*#REF!&gt;=K$7/#REF!+K$6,$B134,10^6)</f>
        <v>#REF!</v>
      </c>
      <c r="L134" s="106" t="e">
        <f>IF($B134*#REF!&gt;=L$7/#REF!+L$6,$B134,10^6)</f>
        <v>#REF!</v>
      </c>
      <c r="M134" s="106" t="e">
        <f>IF($B134*#REF!&gt;=M$7/#REF!+M$6,$B134,10^6)</f>
        <v>#REF!</v>
      </c>
      <c r="N134" s="106" t="e">
        <f>IF($B134*#REF!&gt;=N$7/#REF!+N$6,$B134,10^6)</f>
        <v>#REF!</v>
      </c>
    </row>
    <row r="135" spans="1:14" x14ac:dyDescent="0.25">
      <c r="A135" s="879"/>
      <c r="B135" s="68">
        <v>208</v>
      </c>
      <c r="C135" s="345"/>
      <c r="D135" s="106" t="e">
        <f>IF($B135*#REF!&gt;=D$7/#REF!+D$6,$B135,10^6)</f>
        <v>#REF!</v>
      </c>
      <c r="E135" s="106" t="e">
        <f>IF($B135*#REF!&gt;=E$7/#REF!+E$6,$B135,10^6)</f>
        <v>#REF!</v>
      </c>
      <c r="F135" s="106" t="e">
        <f>IF($B135*#REF!&gt;=F$7/#REF!+F$6,$B135,10^6)</f>
        <v>#REF!</v>
      </c>
      <c r="G135" s="106" t="e">
        <f>IF($B135*#REF!&gt;=G$7/#REF!+G$6,$B135,10^6)</f>
        <v>#REF!</v>
      </c>
      <c r="H135" s="106" t="e">
        <f>IF($B135*#REF!&gt;=H$7/#REF!+H$6,$B135,10^6)</f>
        <v>#REF!</v>
      </c>
      <c r="I135" s="106" t="e">
        <f>IF($B135*#REF!&gt;=I$7/#REF!+I$6,$B135,10^6)</f>
        <v>#REF!</v>
      </c>
      <c r="J135" s="106" t="e">
        <f>IF($B135*#REF!&gt;=J$7/#REF!+J$6,$B135,10^6)</f>
        <v>#REF!</v>
      </c>
      <c r="K135" s="106" t="e">
        <f>IF($B135*#REF!&gt;=K$7/#REF!+K$6,$B135,10^6)</f>
        <v>#REF!</v>
      </c>
      <c r="L135" s="106" t="e">
        <f>IF($B135*#REF!&gt;=L$7/#REF!+L$6,$B135,10^6)</f>
        <v>#REF!</v>
      </c>
      <c r="M135" s="106" t="e">
        <f>IF($B135*#REF!&gt;=M$7/#REF!+M$6,$B135,10^6)</f>
        <v>#REF!</v>
      </c>
      <c r="N135" s="106" t="e">
        <f>IF($B135*#REF!&gt;=N$7/#REF!+N$6,$B135,10^6)</f>
        <v>#REF!</v>
      </c>
    </row>
    <row r="136" spans="1:14" x14ac:dyDescent="0.25">
      <c r="A136" s="879"/>
      <c r="B136" s="68">
        <v>224</v>
      </c>
      <c r="C136" s="345"/>
      <c r="D136" s="106" t="e">
        <f>IF($B136*#REF!&gt;=D$7/#REF!+D$6,$B136,10^6)</f>
        <v>#REF!</v>
      </c>
      <c r="E136" s="106" t="e">
        <f>IF($B136*#REF!&gt;=E$7/#REF!+E$6,$B136,10^6)</f>
        <v>#REF!</v>
      </c>
      <c r="F136" s="106" t="e">
        <f>IF($B136*#REF!&gt;=F$7/#REF!+F$6,$B136,10^6)</f>
        <v>#REF!</v>
      </c>
      <c r="G136" s="106" t="e">
        <f>IF($B136*#REF!&gt;=G$7/#REF!+G$6,$B136,10^6)</f>
        <v>#REF!</v>
      </c>
      <c r="H136" s="106" t="e">
        <f>IF($B136*#REF!&gt;=H$7/#REF!+H$6,$B136,10^6)</f>
        <v>#REF!</v>
      </c>
      <c r="I136" s="106" t="e">
        <f>IF($B136*#REF!&gt;=I$7/#REF!+I$6,$B136,10^6)</f>
        <v>#REF!</v>
      </c>
      <c r="J136" s="106" t="e">
        <f>IF($B136*#REF!&gt;=J$7/#REF!+J$6,$B136,10^6)</f>
        <v>#REF!</v>
      </c>
      <c r="K136" s="106" t="e">
        <f>IF($B136*#REF!&gt;=K$7/#REF!+K$6,$B136,10^6)</f>
        <v>#REF!</v>
      </c>
      <c r="L136" s="106" t="e">
        <f>IF($B136*#REF!&gt;=L$7/#REF!+L$6,$B136,10^6)</f>
        <v>#REF!</v>
      </c>
      <c r="M136" s="106" t="e">
        <f>IF($B136*#REF!&gt;=M$7/#REF!+M$6,$B136,10^6)</f>
        <v>#REF!</v>
      </c>
      <c r="N136" s="106" t="e">
        <f>IF($B136*#REF!&gt;=N$7/#REF!+N$6,$B136,10^6)</f>
        <v>#REF!</v>
      </c>
    </row>
    <row r="137" spans="1:14" x14ac:dyDescent="0.25">
      <c r="A137" s="879"/>
      <c r="B137" s="68">
        <v>240</v>
      </c>
      <c r="C137" s="345"/>
      <c r="D137" s="106" t="e">
        <f>IF($B137*#REF!&gt;=D$7/#REF!+D$6,$B137,10^6)</f>
        <v>#REF!</v>
      </c>
      <c r="E137" s="106" t="e">
        <f>IF($B137*#REF!&gt;=E$7/#REF!+E$6,$B137,10^6)</f>
        <v>#REF!</v>
      </c>
      <c r="F137" s="106" t="e">
        <f>IF($B137*#REF!&gt;=F$7/#REF!+F$6,$B137,10^6)</f>
        <v>#REF!</v>
      </c>
      <c r="G137" s="106" t="e">
        <f>IF($B137*#REF!&gt;=G$7/#REF!+G$6,$B137,10^6)</f>
        <v>#REF!</v>
      </c>
      <c r="H137" s="106" t="e">
        <f>IF($B137*#REF!&gt;=H$7/#REF!+H$6,$B137,10^6)</f>
        <v>#REF!</v>
      </c>
      <c r="I137" s="106" t="e">
        <f>IF($B137*#REF!&gt;=I$7/#REF!+I$6,$B137,10^6)</f>
        <v>#REF!</v>
      </c>
      <c r="J137" s="106" t="e">
        <f>IF($B137*#REF!&gt;=J$7/#REF!+J$6,$B137,10^6)</f>
        <v>#REF!</v>
      </c>
      <c r="K137" s="106" t="e">
        <f>IF($B137*#REF!&gt;=K$7/#REF!+K$6,$B137,10^6)</f>
        <v>#REF!</v>
      </c>
      <c r="L137" s="106" t="e">
        <f>IF($B137*#REF!&gt;=L$7/#REF!+L$6,$B137,10^6)</f>
        <v>#REF!</v>
      </c>
      <c r="M137" s="106" t="e">
        <f>IF($B137*#REF!&gt;=M$7/#REF!+M$6,$B137,10^6)</f>
        <v>#REF!</v>
      </c>
      <c r="N137" s="106" t="e">
        <f>IF($B137*#REF!&gt;=N$7/#REF!+N$6,$B137,10^6)</f>
        <v>#REF!</v>
      </c>
    </row>
    <row r="138" spans="1:14" x14ac:dyDescent="0.25">
      <c r="A138" s="879"/>
      <c r="B138" s="68">
        <v>256</v>
      </c>
      <c r="C138" s="345"/>
      <c r="D138" s="106" t="e">
        <f>IF($B138*#REF!&gt;=D$7/#REF!+D$6,$B138,10^6)</f>
        <v>#REF!</v>
      </c>
      <c r="E138" s="106" t="e">
        <f>IF($B138*#REF!&gt;=E$7/#REF!+E$6,$B138,10^6)</f>
        <v>#REF!</v>
      </c>
      <c r="F138" s="106" t="e">
        <f>IF($B138*#REF!&gt;=F$7/#REF!+F$6,$B138,10^6)</f>
        <v>#REF!</v>
      </c>
      <c r="G138" s="106" t="e">
        <f>IF($B138*#REF!&gt;=G$7/#REF!+G$6,$B138,10^6)</f>
        <v>#REF!</v>
      </c>
      <c r="H138" s="106" t="e">
        <f>IF($B138*#REF!&gt;=H$7/#REF!+H$6,$B138,10^6)</f>
        <v>#REF!</v>
      </c>
      <c r="I138" s="106" t="e">
        <f>IF($B138*#REF!&gt;=I$7/#REF!+I$6,$B138,10^6)</f>
        <v>#REF!</v>
      </c>
      <c r="J138" s="106" t="e">
        <f>IF($B138*#REF!&gt;=J$7/#REF!+J$6,$B138,10^6)</f>
        <v>#REF!</v>
      </c>
      <c r="K138" s="106" t="e">
        <f>IF($B138*#REF!&gt;=K$7/#REF!+K$6,$B138,10^6)</f>
        <v>#REF!</v>
      </c>
      <c r="L138" s="106" t="e">
        <f>IF($B138*#REF!&gt;=L$7/#REF!+L$6,$B138,10^6)</f>
        <v>#REF!</v>
      </c>
      <c r="M138" s="106" t="e">
        <f>IF($B138*#REF!&gt;=M$7/#REF!+M$6,$B138,10^6)</f>
        <v>#REF!</v>
      </c>
      <c r="N138" s="106" t="e">
        <f>IF($B138*#REF!&gt;=N$7/#REF!+N$6,$B138,10^6)</f>
        <v>#REF!</v>
      </c>
    </row>
    <row r="139" spans="1:14" x14ac:dyDescent="0.25">
      <c r="A139" s="879"/>
      <c r="B139" s="68">
        <v>288</v>
      </c>
      <c r="C139" s="345"/>
      <c r="D139" s="106" t="e">
        <f>IF($B139*#REF!&gt;=D$7/#REF!+D$6,$B139,10^6)</f>
        <v>#REF!</v>
      </c>
      <c r="E139" s="106" t="e">
        <f>IF($B139*#REF!&gt;=E$7/#REF!+E$6,$B139,10^6)</f>
        <v>#REF!</v>
      </c>
      <c r="F139" s="106" t="e">
        <f>IF($B139*#REF!&gt;=F$7/#REF!+F$6,$B139,10^6)</f>
        <v>#REF!</v>
      </c>
      <c r="G139" s="106" t="e">
        <f>IF($B139*#REF!&gt;=G$7/#REF!+G$6,$B139,10^6)</f>
        <v>#REF!</v>
      </c>
      <c r="H139" s="106" t="e">
        <f>IF($B139*#REF!&gt;=H$7/#REF!+H$6,$B139,10^6)</f>
        <v>#REF!</v>
      </c>
      <c r="I139" s="106" t="e">
        <f>IF($B139*#REF!&gt;=I$7/#REF!+I$6,$B139,10^6)</f>
        <v>#REF!</v>
      </c>
      <c r="J139" s="106" t="e">
        <f>IF($B139*#REF!&gt;=J$7/#REF!+J$6,$B139,10^6)</f>
        <v>#REF!</v>
      </c>
      <c r="K139" s="106" t="e">
        <f>IF($B139*#REF!&gt;=K$7/#REF!+K$6,$B139,10^6)</f>
        <v>#REF!</v>
      </c>
      <c r="L139" s="106" t="e">
        <f>IF($B139*#REF!&gt;=L$7/#REF!+L$6,$B139,10^6)</f>
        <v>#REF!</v>
      </c>
      <c r="M139" s="106" t="e">
        <f>IF($B139*#REF!&gt;=M$7/#REF!+M$6,$B139,10^6)</f>
        <v>#REF!</v>
      </c>
      <c r="N139" s="106" t="e">
        <f>IF($B139*#REF!&gt;=N$7/#REF!+N$6,$B139,10^6)</f>
        <v>#REF!</v>
      </c>
    </row>
    <row r="140" spans="1:14" x14ac:dyDescent="0.25">
      <c r="A140" s="879"/>
      <c r="B140" s="68">
        <v>320</v>
      </c>
      <c r="C140" s="345"/>
      <c r="D140" s="106" t="e">
        <f>IF($B140*#REF!&gt;=D$7/#REF!+D$6,$B140,10^6)</f>
        <v>#REF!</v>
      </c>
      <c r="E140" s="106" t="e">
        <f>IF($B140*#REF!&gt;=E$7/#REF!+E$6,$B140,10^6)</f>
        <v>#REF!</v>
      </c>
      <c r="F140" s="106" t="e">
        <f>IF($B140*#REF!&gt;=F$7/#REF!+F$6,$B140,10^6)</f>
        <v>#REF!</v>
      </c>
      <c r="G140" s="106" t="e">
        <f>IF($B140*#REF!&gt;=G$7/#REF!+G$6,$B140,10^6)</f>
        <v>#REF!</v>
      </c>
      <c r="H140" s="106" t="e">
        <f>IF($B140*#REF!&gt;=H$7/#REF!+H$6,$B140,10^6)</f>
        <v>#REF!</v>
      </c>
      <c r="I140" s="106" t="e">
        <f>IF($B140*#REF!&gt;=I$7/#REF!+I$6,$B140,10^6)</f>
        <v>#REF!</v>
      </c>
      <c r="J140" s="106" t="e">
        <f>IF($B140*#REF!&gt;=J$7/#REF!+J$6,$B140,10^6)</f>
        <v>#REF!</v>
      </c>
      <c r="K140" s="106" t="e">
        <f>IF($B140*#REF!&gt;=K$7/#REF!+K$6,$B140,10^6)</f>
        <v>#REF!</v>
      </c>
      <c r="L140" s="106" t="e">
        <f>IF($B140*#REF!&gt;=L$7/#REF!+L$6,$B140,10^6)</f>
        <v>#REF!</v>
      </c>
      <c r="M140" s="106" t="e">
        <f>IF($B140*#REF!&gt;=M$7/#REF!+M$6,$B140,10^6)</f>
        <v>#REF!</v>
      </c>
      <c r="N140" s="106" t="e">
        <f>IF($B140*#REF!&gt;=N$7/#REF!+N$6,$B140,10^6)</f>
        <v>#REF!</v>
      </c>
    </row>
    <row r="141" spans="1:14" x14ac:dyDescent="0.25">
      <c r="A141" s="879"/>
      <c r="B141" s="68">
        <v>352</v>
      </c>
      <c r="C141" s="345"/>
      <c r="D141" s="106" t="e">
        <f>IF($B141*#REF!&gt;=D$7/#REF!+D$6,$B141,10^6)</f>
        <v>#REF!</v>
      </c>
      <c r="E141" s="106" t="e">
        <f>IF($B141*#REF!&gt;=E$7/#REF!+E$6,$B141,10^6)</f>
        <v>#REF!</v>
      </c>
      <c r="F141" s="106" t="e">
        <f>IF($B141*#REF!&gt;=F$7/#REF!+F$6,$B141,10^6)</f>
        <v>#REF!</v>
      </c>
      <c r="G141" s="106" t="e">
        <f>IF($B141*#REF!&gt;=G$7/#REF!+G$6,$B141,10^6)</f>
        <v>#REF!</v>
      </c>
      <c r="H141" s="106" t="e">
        <f>IF($B141*#REF!&gt;=H$7/#REF!+H$6,$B141,10^6)</f>
        <v>#REF!</v>
      </c>
      <c r="I141" s="106" t="e">
        <f>IF($B141*#REF!&gt;=I$7/#REF!+I$6,$B141,10^6)</f>
        <v>#REF!</v>
      </c>
      <c r="J141" s="106" t="e">
        <f>IF($B141*#REF!&gt;=J$7/#REF!+J$6,$B141,10^6)</f>
        <v>#REF!</v>
      </c>
      <c r="K141" s="106" t="e">
        <f>IF($B141*#REF!&gt;=K$7/#REF!+K$6,$B141,10^6)</f>
        <v>#REF!</v>
      </c>
      <c r="L141" s="106" t="e">
        <f>IF($B141*#REF!&gt;=L$7/#REF!+L$6,$B141,10^6)</f>
        <v>#REF!</v>
      </c>
      <c r="M141" s="106" t="e">
        <f>IF($B141*#REF!&gt;=M$7/#REF!+M$6,$B141,10^6)</f>
        <v>#REF!</v>
      </c>
      <c r="N141" s="106" t="e">
        <f>IF($B141*#REF!&gt;=N$7/#REF!+N$6,$B141,10^6)</f>
        <v>#REF!</v>
      </c>
    </row>
    <row r="142" spans="1:14" x14ac:dyDescent="0.25">
      <c r="A142" s="879"/>
      <c r="B142" s="68">
        <v>384</v>
      </c>
      <c r="C142" s="345"/>
      <c r="D142" s="106" t="e">
        <f>IF($B142*#REF!&gt;=D$7/#REF!+D$6,$B142,10^6)</f>
        <v>#REF!</v>
      </c>
      <c r="E142" s="106" t="e">
        <f>IF($B142*#REF!&gt;=E$7/#REF!+E$6,$B142,10^6)</f>
        <v>#REF!</v>
      </c>
      <c r="F142" s="106" t="e">
        <f>IF($B142*#REF!&gt;=F$7/#REF!+F$6,$B142,10^6)</f>
        <v>#REF!</v>
      </c>
      <c r="G142" s="106" t="e">
        <f>IF($B142*#REF!&gt;=G$7/#REF!+G$6,$B142,10^6)</f>
        <v>#REF!</v>
      </c>
      <c r="H142" s="106" t="e">
        <f>IF($B142*#REF!&gt;=H$7/#REF!+H$6,$B142,10^6)</f>
        <v>#REF!</v>
      </c>
      <c r="I142" s="106" t="e">
        <f>IF($B142*#REF!&gt;=I$7/#REF!+I$6,$B142,10^6)</f>
        <v>#REF!</v>
      </c>
      <c r="J142" s="106" t="e">
        <f>IF($B142*#REF!&gt;=J$7/#REF!+J$6,$B142,10^6)</f>
        <v>#REF!</v>
      </c>
      <c r="K142" s="106" t="e">
        <f>IF($B142*#REF!&gt;=K$7/#REF!+K$6,$B142,10^6)</f>
        <v>#REF!</v>
      </c>
      <c r="L142" s="106" t="e">
        <f>IF($B142*#REF!&gt;=L$7/#REF!+L$6,$B142,10^6)</f>
        <v>#REF!</v>
      </c>
      <c r="M142" s="106" t="e">
        <f>IF($B142*#REF!&gt;=M$7/#REF!+M$6,$B142,10^6)</f>
        <v>#REF!</v>
      </c>
      <c r="N142" s="106" t="e">
        <f>IF($B142*#REF!&gt;=N$7/#REF!+N$6,$B142,10^6)</f>
        <v>#REF!</v>
      </c>
    </row>
    <row r="157" spans="3:3" x14ac:dyDescent="0.25">
      <c r="C157" s="14">
        <v>2</v>
      </c>
    </row>
    <row r="158" spans="3:3" x14ac:dyDescent="0.25">
      <c r="C158" s="14">
        <v>3</v>
      </c>
    </row>
    <row r="159" spans="3:3" x14ac:dyDescent="0.25">
      <c r="C159" s="14">
        <v>4</v>
      </c>
    </row>
    <row r="160" spans="3:3" x14ac:dyDescent="0.25">
      <c r="C160" s="14">
        <v>5</v>
      </c>
    </row>
    <row r="161" spans="3:3" x14ac:dyDescent="0.25">
      <c r="C161" s="14">
        <v>6</v>
      </c>
    </row>
    <row r="162" spans="3:3" x14ac:dyDescent="0.25">
      <c r="C162" s="14">
        <v>7</v>
      </c>
    </row>
    <row r="163" spans="3:3" x14ac:dyDescent="0.25">
      <c r="C163" s="14">
        <v>8</v>
      </c>
    </row>
    <row r="164" spans="3:3" x14ac:dyDescent="0.25">
      <c r="C164" s="14">
        <v>9</v>
      </c>
    </row>
    <row r="165" spans="3:3" x14ac:dyDescent="0.25">
      <c r="C165" s="14">
        <v>10</v>
      </c>
    </row>
    <row r="166" spans="3:3" x14ac:dyDescent="0.25">
      <c r="C166" s="14">
        <v>11</v>
      </c>
    </row>
    <row r="167" spans="3:3" x14ac:dyDescent="0.25">
      <c r="C167" s="14">
        <v>12</v>
      </c>
    </row>
    <row r="168" spans="3:3" x14ac:dyDescent="0.25">
      <c r="C168" s="14">
        <v>13</v>
      </c>
    </row>
    <row r="169" spans="3:3" x14ac:dyDescent="0.25">
      <c r="C169" s="14">
        <v>14</v>
      </c>
    </row>
    <row r="170" spans="3:3" x14ac:dyDescent="0.25">
      <c r="C170" s="14">
        <v>15</v>
      </c>
    </row>
    <row r="171" spans="3:3" x14ac:dyDescent="0.25">
      <c r="C171" s="14">
        <v>16</v>
      </c>
    </row>
    <row r="172" spans="3:3" x14ac:dyDescent="0.25">
      <c r="C172" s="14">
        <v>18</v>
      </c>
    </row>
    <row r="173" spans="3:3" x14ac:dyDescent="0.25">
      <c r="C173" s="14">
        <v>20</v>
      </c>
    </row>
    <row r="174" spans="3:3" x14ac:dyDescent="0.25">
      <c r="C174" s="14">
        <v>22</v>
      </c>
    </row>
    <row r="175" spans="3:3" x14ac:dyDescent="0.25">
      <c r="C175" s="14">
        <v>24</v>
      </c>
    </row>
    <row r="176" spans="3:3" x14ac:dyDescent="0.25">
      <c r="C176" s="14">
        <v>26</v>
      </c>
    </row>
    <row r="177" spans="3:3" x14ac:dyDescent="0.25">
      <c r="C177" s="14">
        <v>28</v>
      </c>
    </row>
    <row r="178" spans="3:3" x14ac:dyDescent="0.25">
      <c r="C178" s="14">
        <v>30</v>
      </c>
    </row>
    <row r="179" spans="3:3" x14ac:dyDescent="0.25">
      <c r="C179" s="14">
        <v>32</v>
      </c>
    </row>
    <row r="180" spans="3:3" x14ac:dyDescent="0.25">
      <c r="C180" s="14">
        <v>36</v>
      </c>
    </row>
    <row r="181" spans="3:3" x14ac:dyDescent="0.25">
      <c r="C181" s="14">
        <v>40</v>
      </c>
    </row>
    <row r="182" spans="3:3" x14ac:dyDescent="0.25">
      <c r="C182" s="14">
        <v>44</v>
      </c>
    </row>
    <row r="183" spans="3:3" x14ac:dyDescent="0.25">
      <c r="C183" s="14">
        <v>48</v>
      </c>
    </row>
    <row r="184" spans="3:3" x14ac:dyDescent="0.25">
      <c r="C184" s="14">
        <v>52</v>
      </c>
    </row>
    <row r="185" spans="3:3" x14ac:dyDescent="0.25">
      <c r="C185" s="14">
        <v>56</v>
      </c>
    </row>
    <row r="186" spans="3:3" x14ac:dyDescent="0.25">
      <c r="C186" s="14">
        <v>60</v>
      </c>
    </row>
    <row r="187" spans="3:3" x14ac:dyDescent="0.25">
      <c r="C187" s="14">
        <v>64</v>
      </c>
    </row>
    <row r="188" spans="3:3" x14ac:dyDescent="0.25">
      <c r="C188" s="14">
        <v>72</v>
      </c>
    </row>
    <row r="189" spans="3:3" x14ac:dyDescent="0.25">
      <c r="C189" s="14">
        <v>80</v>
      </c>
    </row>
    <row r="190" spans="3:3" x14ac:dyDescent="0.25">
      <c r="C190" s="14">
        <v>88</v>
      </c>
    </row>
    <row r="191" spans="3:3" x14ac:dyDescent="0.25">
      <c r="C191" s="14">
        <v>96</v>
      </c>
    </row>
    <row r="192" spans="3:3" x14ac:dyDescent="0.25">
      <c r="C192" s="14">
        <v>104</v>
      </c>
    </row>
    <row r="193" spans="3:3" x14ac:dyDescent="0.25">
      <c r="C193" s="14">
        <v>112</v>
      </c>
    </row>
    <row r="194" spans="3:3" x14ac:dyDescent="0.25">
      <c r="C194" s="14">
        <v>120</v>
      </c>
    </row>
    <row r="195" spans="3:3" x14ac:dyDescent="0.25">
      <c r="C195" s="14">
        <v>128</v>
      </c>
    </row>
    <row r="196" spans="3:3" x14ac:dyDescent="0.25">
      <c r="C196" s="14">
        <v>144</v>
      </c>
    </row>
    <row r="197" spans="3:3" x14ac:dyDescent="0.25">
      <c r="C197" s="14">
        <v>160</v>
      </c>
    </row>
    <row r="198" spans="3:3" x14ac:dyDescent="0.25">
      <c r="C198" s="14">
        <v>176</v>
      </c>
    </row>
    <row r="199" spans="3:3" x14ac:dyDescent="0.25">
      <c r="C199" s="14">
        <v>192</v>
      </c>
    </row>
    <row r="200" spans="3:3" x14ac:dyDescent="0.25">
      <c r="C200" s="14">
        <v>208</v>
      </c>
    </row>
    <row r="201" spans="3:3" x14ac:dyDescent="0.25">
      <c r="C201" s="14">
        <v>224</v>
      </c>
    </row>
    <row r="202" spans="3:3" x14ac:dyDescent="0.25">
      <c r="C202" s="14">
        <v>240</v>
      </c>
    </row>
    <row r="203" spans="3:3" x14ac:dyDescent="0.25">
      <c r="C203" s="14">
        <v>256</v>
      </c>
    </row>
    <row r="204" spans="3:3" x14ac:dyDescent="0.25">
      <c r="C204" s="14">
        <v>288</v>
      </c>
    </row>
    <row r="205" spans="3:3" x14ac:dyDescent="0.25">
      <c r="C205" s="14">
        <v>320</v>
      </c>
    </row>
    <row r="206" spans="3:3" x14ac:dyDescent="0.25">
      <c r="C206" s="14">
        <v>352</v>
      </c>
    </row>
    <row r="207" spans="3:3" x14ac:dyDescent="0.25">
      <c r="C207" s="14">
        <v>384</v>
      </c>
    </row>
  </sheetData>
  <sortState xmlns:xlrd2="http://schemas.microsoft.com/office/spreadsheetml/2017/richdata2" ref="C157:C207">
    <sortCondition ref="C157:C207"/>
  </sortState>
  <mergeCells count="12">
    <mergeCell ref="A92:A142"/>
    <mergeCell ref="A13:A15"/>
    <mergeCell ref="A16:A18"/>
    <mergeCell ref="A20:A22"/>
    <mergeCell ref="A23:A25"/>
    <mergeCell ref="A26:A27"/>
    <mergeCell ref="A38:A88"/>
    <mergeCell ref="D4:I4"/>
    <mergeCell ref="A8:A10"/>
    <mergeCell ref="A11:A12"/>
    <mergeCell ref="D37:N37"/>
    <mergeCell ref="D91:N91"/>
  </mergeCells>
  <phoneticPr fontId="9"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21</vt:i4>
      </vt:variant>
    </vt:vector>
  </HeadingPairs>
  <TitlesOfParts>
    <vt:vector size="21" baseType="lpstr">
      <vt:lpstr>Times and throughputs</vt:lpstr>
      <vt:lpstr>TDD</vt:lpstr>
      <vt:lpstr>PUCCH Formats</vt:lpstr>
      <vt:lpstr>PUCCH OCC</vt:lpstr>
      <vt:lpstr>PRACH time</vt:lpstr>
      <vt:lpstr>PRACH freq</vt:lpstr>
      <vt:lpstr>PDSCH DMRS</vt:lpstr>
      <vt:lpstr>SSB</vt:lpstr>
      <vt:lpstr>Blocks &amp; Segment.</vt:lpstr>
      <vt:lpstr>Blocks &amp; Throughput</vt:lpstr>
      <vt:lpstr>SCS &amp; Channel Bandwidth</vt:lpstr>
      <vt:lpstr>SCS &amp; Cell Size</vt:lpstr>
      <vt:lpstr>Sequences</vt:lpstr>
      <vt:lpstr>VRBBs</vt:lpstr>
      <vt:lpstr>Rast Global</vt:lpstr>
      <vt:lpstr>Rast Global Sync</vt:lpstr>
      <vt:lpstr>Rast bands listed</vt:lpstr>
      <vt:lpstr>Rast Band 263</vt:lpstr>
      <vt:lpstr>(i)DFT</vt:lpstr>
      <vt:lpstr>5G overheads</vt:lpstr>
      <vt:lpstr>Capacity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Arturo Azcorra</dc:creator>
  <cp:lastModifiedBy>Arturo Azcorra</cp:lastModifiedBy>
  <dcterms:created xsi:type="dcterms:W3CDTF">2019-03-31T17:36:27Z</dcterms:created>
  <dcterms:modified xsi:type="dcterms:W3CDTF">2025-10-06T10:11:10Z</dcterms:modified>
</cp:coreProperties>
</file>